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Budget\Budget 23-24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Sheet1!$A$1:$H$3818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1" i="1" l="1"/>
  <c r="E10" i="1"/>
  <c r="E2264" i="1"/>
  <c r="E2265" i="1"/>
  <c r="E2267" i="1"/>
  <c r="E490" i="1"/>
  <c r="E523" i="1" l="1"/>
  <c r="E310" i="1"/>
  <c r="E622" i="1"/>
  <c r="E3725" i="1" l="1"/>
  <c r="E3729" i="1" s="1"/>
  <c r="E3689" i="1"/>
  <c r="E3688" i="1"/>
  <c r="E3687" i="1"/>
  <c r="E3727" i="1" l="1"/>
  <c r="E3728" i="1"/>
  <c r="E246" i="1"/>
  <c r="E522" i="1"/>
  <c r="E2213" i="1"/>
  <c r="E2182" i="1"/>
  <c r="E3731" i="1" l="1"/>
  <c r="E3691" i="1"/>
  <c r="E2189" i="1"/>
  <c r="E3778" i="1" l="1"/>
  <c r="E3777" i="1"/>
  <c r="E3771" i="1"/>
  <c r="E3760" i="1"/>
  <c r="E3738" i="1"/>
  <c r="E3737" i="1"/>
  <c r="E3717" i="1"/>
  <c r="E3719" i="1" s="1"/>
  <c r="E3708" i="1"/>
  <c r="E3707" i="1"/>
  <c r="E3701" i="1"/>
  <c r="E3700" i="1"/>
  <c r="E3699" i="1"/>
  <c r="E3698" i="1"/>
  <c r="E3675" i="1"/>
  <c r="E3678" i="1" s="1"/>
  <c r="E3669" i="1"/>
  <c r="E3664" i="1"/>
  <c r="E3663" i="1"/>
  <c r="E3657" i="1"/>
  <c r="E3656" i="1"/>
  <c r="E3655" i="1"/>
  <c r="E3649" i="1"/>
  <c r="E3635" i="1"/>
  <c r="E3629" i="1"/>
  <c r="E3628" i="1"/>
  <c r="E3627" i="1"/>
  <c r="E3615" i="1"/>
  <c r="E3611" i="1"/>
  <c r="E3610" i="1"/>
  <c r="E3608" i="1"/>
  <c r="E3602" i="1"/>
  <c r="E3601" i="1"/>
  <c r="E3600" i="1"/>
  <c r="E3592" i="1"/>
  <c r="E3588" i="1"/>
  <c r="E3587" i="1"/>
  <c r="E3577" i="1"/>
  <c r="E3580" i="1" s="1"/>
  <c r="E3573" i="1"/>
  <c r="E3559" i="1"/>
  <c r="E3551" i="1"/>
  <c r="E3550" i="1"/>
  <c r="E3549" i="1"/>
  <c r="E3543" i="1"/>
  <c r="E3542" i="1"/>
  <c r="E3541" i="1"/>
  <c r="E3540" i="1"/>
  <c r="E3531" i="1"/>
  <c r="E3530" i="1"/>
  <c r="E3523" i="1"/>
  <c r="E3522" i="1"/>
  <c r="E3510" i="1"/>
  <c r="E3509" i="1"/>
  <c r="E3508" i="1"/>
  <c r="E3501" i="1"/>
  <c r="E3504" i="1" s="1"/>
  <c r="E3495" i="1"/>
  <c r="E3493" i="1"/>
  <c r="E3486" i="1"/>
  <c r="E3485" i="1"/>
  <c r="E3483" i="1"/>
  <c r="E3482" i="1"/>
  <c r="E3481" i="1"/>
  <c r="E3480" i="1"/>
  <c r="E3478" i="1"/>
  <c r="E3472" i="1"/>
  <c r="E3471" i="1"/>
  <c r="E3465" i="1"/>
  <c r="E3457" i="1"/>
  <c r="E3456" i="1"/>
  <c r="E3455" i="1"/>
  <c r="E3447" i="1"/>
  <c r="E3446" i="1"/>
  <c r="E3445" i="1"/>
  <c r="E3444" i="1"/>
  <c r="E3435" i="1"/>
  <c r="E3434" i="1"/>
  <c r="E3421" i="1"/>
  <c r="E3420" i="1"/>
  <c r="E3419" i="1"/>
  <c r="E3418" i="1"/>
  <c r="E3409" i="1"/>
  <c r="E3398" i="1"/>
  <c r="E3397" i="1"/>
  <c r="E3386" i="1"/>
  <c r="E3382" i="1"/>
  <c r="E3384" i="1" s="1"/>
  <c r="E3367" i="1"/>
  <c r="E3366" i="1"/>
  <c r="E3359" i="1"/>
  <c r="E3358" i="1"/>
  <c r="E3350" i="1"/>
  <c r="E3349" i="1"/>
  <c r="E3341" i="1"/>
  <c r="E3338" i="1"/>
  <c r="E3340" i="1" s="1"/>
  <c r="E3333" i="1"/>
  <c r="E3332" i="1"/>
  <c r="E3325" i="1"/>
  <c r="E3324" i="1"/>
  <c r="E3323" i="1"/>
  <c r="E3322" i="1"/>
  <c r="E3315" i="1"/>
  <c r="E3307" i="1"/>
  <c r="E3306" i="1"/>
  <c r="E3305" i="1"/>
  <c r="E3300" i="1"/>
  <c r="E3291" i="1"/>
  <c r="E3287" i="1"/>
  <c r="E3286" i="1"/>
  <c r="E3279" i="1"/>
  <c r="E3278" i="1"/>
  <c r="E3270" i="1"/>
  <c r="E3269" i="1"/>
  <c r="E3268" i="1"/>
  <c r="E3267" i="1"/>
  <c r="E3258" i="1"/>
  <c r="E3257" i="1"/>
  <c r="E3248" i="1"/>
  <c r="E3245" i="1"/>
  <c r="E3247" i="1" s="1"/>
  <c r="E3237" i="1"/>
  <c r="E3236" i="1"/>
  <c r="E3235" i="1"/>
  <c r="E3218" i="1"/>
  <c r="E3217" i="1"/>
  <c r="E3214" i="1"/>
  <c r="E3213" i="1"/>
  <c r="E3212" i="1"/>
  <c r="E3203" i="1"/>
  <c r="E3202" i="1"/>
  <c r="E3201" i="1"/>
  <c r="E3200" i="1"/>
  <c r="E3193" i="1"/>
  <c r="E3183" i="1"/>
  <c r="E3180" i="1"/>
  <c r="E3184" i="1" s="1"/>
  <c r="E3172" i="1"/>
  <c r="E3171" i="1"/>
  <c r="E3160" i="1"/>
  <c r="E3157" i="1"/>
  <c r="E3152" i="1"/>
  <c r="E3159" i="1" s="1"/>
  <c r="E3147" i="1"/>
  <c r="E3135" i="1"/>
  <c r="E3139" i="1" s="1"/>
  <c r="E3122" i="1"/>
  <c r="E3121" i="1"/>
  <c r="E3120" i="1"/>
  <c r="E3119" i="1"/>
  <c r="E3108" i="1"/>
  <c r="E3107" i="1"/>
  <c r="E3100" i="1"/>
  <c r="E3099" i="1"/>
  <c r="E3090" i="1"/>
  <c r="E3089" i="1"/>
  <c r="E3079" i="1"/>
  <c r="E3082" i="1" s="1"/>
  <c r="E3072" i="1"/>
  <c r="E3071" i="1"/>
  <c r="E3063" i="1"/>
  <c r="E3062" i="1"/>
  <c r="E3061" i="1"/>
  <c r="E3060" i="1"/>
  <c r="E3054" i="1"/>
  <c r="E3044" i="1"/>
  <c r="E3043" i="1"/>
  <c r="E3042" i="1"/>
  <c r="E3037" i="1"/>
  <c r="E3022" i="1"/>
  <c r="E3014" i="1"/>
  <c r="E3013" i="1"/>
  <c r="E3012" i="1"/>
  <c r="E3010" i="1"/>
  <c r="E3009" i="1"/>
  <c r="E3002" i="1"/>
  <c r="E3001" i="1"/>
  <c r="E3000" i="1"/>
  <c r="E2999" i="1"/>
  <c r="E2990" i="1"/>
  <c r="E2989" i="1"/>
  <c r="E2980" i="1"/>
  <c r="E2977" i="1"/>
  <c r="E2978" i="1" s="1"/>
  <c r="E2969" i="1"/>
  <c r="E2966" i="1"/>
  <c r="E2968" i="1" s="1"/>
  <c r="E2954" i="1"/>
  <c r="E2953" i="1"/>
  <c r="E2952" i="1"/>
  <c r="E2951" i="1"/>
  <c r="E2950" i="1"/>
  <c r="E2949" i="1"/>
  <c r="E2942" i="1"/>
  <c r="E2941" i="1"/>
  <c r="E2935" i="1"/>
  <c r="E2925" i="1"/>
  <c r="E2924" i="1"/>
  <c r="E2923" i="1"/>
  <c r="E2916" i="1"/>
  <c r="E2915" i="1"/>
  <c r="E2914" i="1"/>
  <c r="E2913" i="1"/>
  <c r="E2905" i="1"/>
  <c r="E2904" i="1"/>
  <c r="E2889" i="1"/>
  <c r="E2888" i="1"/>
  <c r="E2887" i="1"/>
  <c r="E2886" i="1"/>
  <c r="E2878" i="1"/>
  <c r="E2867" i="1"/>
  <c r="E2866" i="1"/>
  <c r="E2849" i="1"/>
  <c r="E2848" i="1"/>
  <c r="E2847" i="1"/>
  <c r="E2846" i="1"/>
  <c r="E2836" i="1"/>
  <c r="E2835" i="1"/>
  <c r="E2824" i="1"/>
  <c r="E2823" i="1"/>
  <c r="E2822" i="1"/>
  <c r="E2815" i="1"/>
  <c r="E2814" i="1"/>
  <c r="E2806" i="1"/>
  <c r="E2803" i="1"/>
  <c r="E2805" i="1" s="1"/>
  <c r="E2793" i="1"/>
  <c r="E2792" i="1"/>
  <c r="E2782" i="1"/>
  <c r="E2781" i="1"/>
  <c r="E2780" i="1"/>
  <c r="E2779" i="1"/>
  <c r="E2773" i="1"/>
  <c r="E2763" i="1"/>
  <c r="E2762" i="1"/>
  <c r="E2761" i="1"/>
  <c r="E2754" i="1"/>
  <c r="E2756" i="1" s="1"/>
  <c r="E2742" i="1"/>
  <c r="E2732" i="1"/>
  <c r="E2724" i="1"/>
  <c r="E2721" i="1"/>
  <c r="E2723" i="1" s="1"/>
  <c r="E2712" i="1"/>
  <c r="E2711" i="1"/>
  <c r="E2704" i="1"/>
  <c r="E2703" i="1"/>
  <c r="E2691" i="1"/>
  <c r="E2695" i="1" s="1"/>
  <c r="E2690" i="1"/>
  <c r="E2683" i="1"/>
  <c r="E2686" i="1" s="1"/>
  <c r="E2672" i="1"/>
  <c r="E2671" i="1"/>
  <c r="E2670" i="1"/>
  <c r="E2669" i="1"/>
  <c r="E2668" i="1"/>
  <c r="E2662" i="1"/>
  <c r="E2654" i="1"/>
  <c r="E2653" i="1"/>
  <c r="E2652" i="1"/>
  <c r="E2651" i="1"/>
  <c r="E2642" i="1"/>
  <c r="E2641" i="1"/>
  <c r="E2640" i="1"/>
  <c r="E2624" i="1"/>
  <c r="E2623" i="1"/>
  <c r="E2622" i="1"/>
  <c r="E2621" i="1"/>
  <c r="E2614" i="1"/>
  <c r="E2608" i="1"/>
  <c r="E2597" i="1"/>
  <c r="E2596" i="1"/>
  <c r="E2585" i="1"/>
  <c r="E2584" i="1"/>
  <c r="E2583" i="1"/>
  <c r="E2582" i="1"/>
  <c r="E2570" i="1"/>
  <c r="E2569" i="1"/>
  <c r="E2561" i="1"/>
  <c r="E2560" i="1"/>
  <c r="E2553" i="1"/>
  <c r="E2550" i="1"/>
  <c r="E2549" i="1"/>
  <c r="E2552" i="1" s="1"/>
  <c r="E2541" i="1"/>
  <c r="E2538" i="1"/>
  <c r="E2537" i="1"/>
  <c r="E2536" i="1"/>
  <c r="E2539" i="1" s="1"/>
  <c r="E2527" i="1"/>
  <c r="E2526" i="1"/>
  <c r="E2521" i="1"/>
  <c r="E2513" i="1"/>
  <c r="E2512" i="1"/>
  <c r="E2504" i="1"/>
  <c r="E2503" i="1"/>
  <c r="E2502" i="1"/>
  <c r="E2501" i="1"/>
  <c r="E2495" i="1"/>
  <c r="E2483" i="1"/>
  <c r="E2482" i="1"/>
  <c r="E2476" i="1"/>
  <c r="E2473" i="1"/>
  <c r="E2472" i="1"/>
  <c r="E2465" i="1"/>
  <c r="E2464" i="1"/>
  <c r="E2463" i="1"/>
  <c r="E2462" i="1"/>
  <c r="E2452" i="1"/>
  <c r="E2451" i="1"/>
  <c r="E2438" i="1"/>
  <c r="E2440" i="1" s="1"/>
  <c r="E2437" i="1"/>
  <c r="E2442" i="1" s="1"/>
  <c r="E2431" i="1"/>
  <c r="E2430" i="1"/>
  <c r="E2429" i="1"/>
  <c r="E2414" i="1"/>
  <c r="E2413" i="1"/>
  <c r="E2412" i="1"/>
  <c r="E2411" i="1"/>
  <c r="E2405" i="1"/>
  <c r="E2404" i="1"/>
  <c r="E2407" i="1" s="1"/>
  <c r="E2398" i="1"/>
  <c r="E2388" i="1"/>
  <c r="E2387" i="1"/>
  <c r="E2386" i="1"/>
  <c r="E2385" i="1"/>
  <c r="E2376" i="1"/>
  <c r="E2375" i="1"/>
  <c r="E2361" i="1"/>
  <c r="E2360" i="1"/>
  <c r="E2359" i="1"/>
  <c r="E2358" i="1"/>
  <c r="E2349" i="1"/>
  <c r="E2338" i="1"/>
  <c r="E2337" i="1"/>
  <c r="E2324" i="1"/>
  <c r="E2323" i="1"/>
  <c r="E2322" i="1"/>
  <c r="E2321" i="1"/>
  <c r="E2306" i="1"/>
  <c r="E2305" i="1"/>
  <c r="E2298" i="1"/>
  <c r="E2297" i="1"/>
  <c r="E2290" i="1"/>
  <c r="E2289" i="1"/>
  <c r="E2292" i="1" s="1"/>
  <c r="E2280" i="1"/>
  <c r="E2283" i="1" s="1"/>
  <c r="E2273" i="1"/>
  <c r="E2272" i="1"/>
  <c r="E2257" i="1"/>
  <c r="E2256" i="1"/>
  <c r="E2255" i="1"/>
  <c r="E2254" i="1"/>
  <c r="E2244" i="1"/>
  <c r="E2243" i="1"/>
  <c r="E2242" i="1"/>
  <c r="E2237" i="1"/>
  <c r="E2228" i="1"/>
  <c r="E2227" i="1"/>
  <c r="E2226" i="1"/>
  <c r="E2219" i="1"/>
  <c r="E2215" i="1"/>
  <c r="E2212" i="1"/>
  <c r="E2210" i="1"/>
  <c r="E2209" i="1"/>
  <c r="E2205" i="1"/>
  <c r="E2204" i="1"/>
  <c r="E2200" i="1"/>
  <c r="E2198" i="1"/>
  <c r="E2197" i="1"/>
  <c r="E2196" i="1"/>
  <c r="E2195" i="1"/>
  <c r="E2194" i="1"/>
  <c r="E2190" i="1"/>
  <c r="E2187" i="1"/>
  <c r="E2185" i="1"/>
  <c r="E2184" i="1"/>
  <c r="E2183" i="1"/>
  <c r="E2180" i="1"/>
  <c r="E2179" i="1"/>
  <c r="E2178" i="1"/>
  <c r="E2176" i="1"/>
  <c r="E2174" i="1"/>
  <c r="E2168" i="1"/>
  <c r="E2167" i="1"/>
  <c r="E2166" i="1"/>
  <c r="E2165" i="1"/>
  <c r="E2158" i="1"/>
  <c r="E2150" i="1"/>
  <c r="E2149" i="1"/>
  <c r="E2130" i="1"/>
  <c r="E2128" i="1"/>
  <c r="E2125" i="1"/>
  <c r="E2124" i="1"/>
  <c r="E2123" i="1"/>
  <c r="E2122" i="1"/>
  <c r="E2110" i="1"/>
  <c r="E2109" i="1"/>
  <c r="E2108" i="1"/>
  <c r="E2107" i="1"/>
  <c r="E2095" i="1"/>
  <c r="E2088" i="1"/>
  <c r="E2087" i="1"/>
  <c r="E1993" i="1"/>
  <c r="E1986" i="1"/>
  <c r="E1985" i="1"/>
  <c r="E1984" i="1"/>
  <c r="E1983" i="1"/>
  <c r="E1982" i="1"/>
  <c r="E1976" i="1"/>
  <c r="E1975" i="1"/>
  <c r="E1971" i="1"/>
  <c r="E1972" i="1" s="1"/>
  <c r="E1959" i="1"/>
  <c r="E1956" i="1"/>
  <c r="E1955" i="1"/>
  <c r="E1947" i="1"/>
  <c r="E1946" i="1"/>
  <c r="E1944" i="1"/>
  <c r="E1943" i="1"/>
  <c r="E1932" i="1"/>
  <c r="E1931" i="1"/>
  <c r="E1929" i="1"/>
  <c r="E1928" i="1"/>
  <c r="E1927" i="1"/>
  <c r="E1926" i="1"/>
  <c r="E1917" i="1"/>
  <c r="E1916" i="1"/>
  <c r="E1915" i="1"/>
  <c r="E1910" i="1"/>
  <c r="E1883" i="1"/>
  <c r="E1882" i="1"/>
  <c r="E1881" i="1"/>
  <c r="E1880" i="1"/>
  <c r="E1870" i="1"/>
  <c r="E1869" i="1"/>
  <c r="E1868" i="1"/>
  <c r="E1867" i="1"/>
  <c r="E1858" i="1"/>
  <c r="E1857" i="1"/>
  <c r="E1860" i="1" s="1"/>
  <c r="G1840" i="1"/>
  <c r="E1840" i="1"/>
  <c r="E1839" i="1"/>
  <c r="E1838" i="1"/>
  <c r="E1837" i="1"/>
  <c r="E1825" i="1"/>
  <c r="E1824" i="1"/>
  <c r="E1823" i="1"/>
  <c r="E1822" i="1"/>
  <c r="E1810" i="1"/>
  <c r="E1815" i="1" s="1"/>
  <c r="E1799" i="1"/>
  <c r="E1796" i="1"/>
  <c r="E1797" i="1" s="1"/>
  <c r="E1784" i="1"/>
  <c r="E1783" i="1"/>
  <c r="E1772" i="1"/>
  <c r="E1773" i="1" s="1"/>
  <c r="E1759" i="1"/>
  <c r="E1763" i="1" s="1"/>
  <c r="E1758" i="1"/>
  <c r="E1762" i="1" s="1"/>
  <c r="E1753" i="1"/>
  <c r="E1745" i="1"/>
  <c r="E1741" i="1"/>
  <c r="E1739" i="1"/>
  <c r="E1738" i="1"/>
  <c r="E1716" i="1"/>
  <c r="E1718" i="1" s="1"/>
  <c r="E1708" i="1"/>
  <c r="E1711" i="1" s="1"/>
  <c r="E1701" i="1"/>
  <c r="E1703" i="1" s="1"/>
  <c r="E1688" i="1"/>
  <c r="E1687" i="1"/>
  <c r="E1679" i="1"/>
  <c r="E1678" i="1"/>
  <c r="E1670" i="1"/>
  <c r="E1669" i="1"/>
  <c r="E1668" i="1"/>
  <c r="E1667" i="1"/>
  <c r="E1657" i="1"/>
  <c r="E1654" i="1"/>
  <c r="E1647" i="1"/>
  <c r="E1646" i="1"/>
  <c r="E1649" i="1" s="1"/>
  <c r="E1634" i="1"/>
  <c r="E1633" i="1"/>
  <c r="E1637" i="1" s="1"/>
  <c r="E1625" i="1"/>
  <c r="E1621" i="1"/>
  <c r="E1623" i="1" s="1"/>
  <c r="E1615" i="1"/>
  <c r="E1614" i="1"/>
  <c r="E1613" i="1"/>
  <c r="E1611" i="1"/>
  <c r="E1610" i="1"/>
  <c r="E1608" i="1"/>
  <c r="E1607" i="1"/>
  <c r="E1602" i="1"/>
  <c r="E1601" i="1"/>
  <c r="E1600" i="1"/>
  <c r="E1599" i="1"/>
  <c r="E1598" i="1"/>
  <c r="E1597" i="1"/>
  <c r="E1596" i="1"/>
  <c r="E1587" i="1"/>
  <c r="E1586" i="1"/>
  <c r="E1585" i="1"/>
  <c r="E1590" i="1" s="1"/>
  <c r="E1577" i="1"/>
  <c r="E1574" i="1"/>
  <c r="E1567" i="1"/>
  <c r="E1566" i="1"/>
  <c r="E1565" i="1"/>
  <c r="E1564" i="1"/>
  <c r="E1556" i="1"/>
  <c r="E1555" i="1"/>
  <c r="E1558" i="1" s="1"/>
  <c r="E1545" i="1"/>
  <c r="E1539" i="1"/>
  <c r="E1538" i="1"/>
  <c r="E1537" i="1"/>
  <c r="E1536" i="1"/>
  <c r="E1535" i="1"/>
  <c r="E1524" i="1"/>
  <c r="E1523" i="1"/>
  <c r="E1522" i="1"/>
  <c r="E1511" i="1"/>
  <c r="E1515" i="1" s="1"/>
  <c r="E1495" i="1"/>
  <c r="E1494" i="1"/>
  <c r="E1493" i="1"/>
  <c r="E1492" i="1"/>
  <c r="E1478" i="1"/>
  <c r="E1475" i="1"/>
  <c r="E1476" i="1" s="1"/>
  <c r="E1468" i="1"/>
  <c r="E1467" i="1"/>
  <c r="E1456" i="1"/>
  <c r="E1446" i="1"/>
  <c r="E1445" i="1"/>
  <c r="E1440" i="1"/>
  <c r="E1429" i="1"/>
  <c r="E1428" i="1"/>
  <c r="E1427" i="1"/>
  <c r="E1421" i="1"/>
  <c r="E1415" i="1"/>
  <c r="E1403" i="1"/>
  <c r="E1405" i="1" s="1"/>
  <c r="E1399" i="1"/>
  <c r="E1386" i="1"/>
  <c r="E1385" i="1"/>
  <c r="E1376" i="1"/>
  <c r="E1375" i="1"/>
  <c r="E1374" i="1"/>
  <c r="E1364" i="1"/>
  <c r="E1363" i="1"/>
  <c r="E1361" i="1"/>
  <c r="E1359" i="1"/>
  <c r="E1367" i="1" s="1"/>
  <c r="E1352" i="1"/>
  <c r="E1354" i="1" s="1"/>
  <c r="E1346" i="1"/>
  <c r="E1338" i="1"/>
  <c r="E1337" i="1"/>
  <c r="E1336" i="1"/>
  <c r="E1335" i="1"/>
  <c r="E1324" i="1"/>
  <c r="E1323" i="1"/>
  <c r="E1326" i="1" s="1"/>
  <c r="E1313" i="1"/>
  <c r="E1312" i="1"/>
  <c r="E1311" i="1"/>
  <c r="E1309" i="1"/>
  <c r="E1308" i="1"/>
  <c r="E1306" i="1"/>
  <c r="E1305" i="1"/>
  <c r="E1304" i="1"/>
  <c r="E1303" i="1"/>
  <c r="E1291" i="1"/>
  <c r="E1290" i="1"/>
  <c r="E1289" i="1"/>
  <c r="E1288" i="1"/>
  <c r="E1276" i="1"/>
  <c r="E1275" i="1"/>
  <c r="E1269" i="1"/>
  <c r="E1268" i="1"/>
  <c r="E1266" i="1"/>
  <c r="E1264" i="1"/>
  <c r="E1263" i="1"/>
  <c r="E1262" i="1"/>
  <c r="E1261" i="1"/>
  <c r="E1250" i="1"/>
  <c r="E1249" i="1"/>
  <c r="E1253" i="1" s="1"/>
  <c r="E1242" i="1"/>
  <c r="E1238" i="1"/>
  <c r="E1241" i="1" s="1"/>
  <c r="E1231" i="1"/>
  <c r="E1230" i="1"/>
  <c r="E1229" i="1"/>
  <c r="E1228" i="1"/>
  <c r="E1217" i="1"/>
  <c r="E1216" i="1"/>
  <c r="E1207" i="1"/>
  <c r="E1206" i="1"/>
  <c r="E1209" i="1" s="1"/>
  <c r="E1193" i="1"/>
  <c r="E1197" i="1" s="1"/>
  <c r="E1191" i="1"/>
  <c r="E1190" i="1"/>
  <c r="E1196" i="1" s="1"/>
  <c r="E1184" i="1"/>
  <c r="E1186" i="1" s="1"/>
  <c r="E1178" i="1"/>
  <c r="E1180" i="1" s="1"/>
  <c r="E1164" i="1"/>
  <c r="E1174" i="1" s="1"/>
  <c r="E1154" i="1"/>
  <c r="E1150" i="1"/>
  <c r="E1149" i="1"/>
  <c r="E1148" i="1"/>
  <c r="E1147" i="1"/>
  <c r="E1133" i="1"/>
  <c r="E1132" i="1"/>
  <c r="E1127" i="1"/>
  <c r="E1116" i="1"/>
  <c r="E1115" i="1"/>
  <c r="E1118" i="1" s="1"/>
  <c r="E1102" i="1"/>
  <c r="E1105" i="1" s="1"/>
  <c r="E1095" i="1"/>
  <c r="E1094" i="1"/>
  <c r="E1093" i="1"/>
  <c r="E1087" i="1"/>
  <c r="E1089" i="1" s="1"/>
  <c r="E1083" i="1"/>
  <c r="E1074" i="1"/>
  <c r="E1071" i="1"/>
  <c r="E1070" i="1"/>
  <c r="E1062" i="1"/>
  <c r="E1056" i="1"/>
  <c r="E1055" i="1"/>
  <c r="E1057" i="1" s="1"/>
  <c r="E1043" i="1"/>
  <c r="E1047" i="1" s="1"/>
  <c r="E1038" i="1"/>
  <c r="E1040" i="1" s="1"/>
  <c r="E1032" i="1"/>
  <c r="E1031" i="1"/>
  <c r="E1034" i="1" s="1"/>
  <c r="E1020" i="1"/>
  <c r="E1021" i="1" s="1"/>
  <c r="E1008" i="1"/>
  <c r="E1007" i="1"/>
  <c r="E1006" i="1"/>
  <c r="E1000" i="1"/>
  <c r="E997" i="1"/>
  <c r="E995" i="1"/>
  <c r="E998" i="1" s="1"/>
  <c r="E987" i="1"/>
  <c r="E986" i="1"/>
  <c r="E973" i="1"/>
  <c r="E981" i="1" s="1"/>
  <c r="E961" i="1"/>
  <c r="E953" i="1"/>
  <c r="E947" i="1"/>
  <c r="E944" i="1"/>
  <c r="E937" i="1"/>
  <c r="E923" i="1"/>
  <c r="E927" i="1" s="1"/>
  <c r="E917" i="1"/>
  <c r="E916" i="1"/>
  <c r="E880" i="1"/>
  <c r="E884" i="1" s="1"/>
  <c r="E877" i="1"/>
  <c r="E874" i="1"/>
  <c r="E851" i="1"/>
  <c r="E850" i="1"/>
  <c r="E849" i="1"/>
  <c r="E848" i="1"/>
  <c r="E824" i="1"/>
  <c r="E823" i="1"/>
  <c r="E822" i="1"/>
  <c r="E839" i="1" s="1"/>
  <c r="E815" i="1"/>
  <c r="E817" i="1" s="1"/>
  <c r="E811" i="1"/>
  <c r="E802" i="1"/>
  <c r="E799" i="1"/>
  <c r="E798" i="1"/>
  <c r="E790" i="1"/>
  <c r="E786" i="1"/>
  <c r="E785" i="1"/>
  <c r="E784" i="1"/>
  <c r="E767" i="1"/>
  <c r="E766" i="1"/>
  <c r="E765" i="1"/>
  <c r="E749" i="1"/>
  <c r="E748" i="1"/>
  <c r="E747" i="1"/>
  <c r="E724" i="1"/>
  <c r="E729" i="1" s="1"/>
  <c r="E708" i="1"/>
  <c r="E707" i="1"/>
  <c r="E706" i="1"/>
  <c r="E705" i="1"/>
  <c r="E698" i="1"/>
  <c r="E686" i="1"/>
  <c r="E672" i="1"/>
  <c r="E670" i="1"/>
  <c r="E668" i="1"/>
  <c r="E664" i="1"/>
  <c r="E669" i="1" s="1"/>
  <c r="E654" i="1"/>
  <c r="E656" i="1" s="1"/>
  <c r="E638" i="1"/>
  <c r="E634" i="1"/>
  <c r="E626" i="1"/>
  <c r="E623" i="1"/>
  <c r="E620" i="1"/>
  <c r="E618" i="1"/>
  <c r="E617" i="1"/>
  <c r="E616" i="1"/>
  <c r="E615" i="1"/>
  <c r="E613" i="1"/>
  <c r="E612" i="1"/>
  <c r="E607" i="1"/>
  <c r="E601" i="1"/>
  <c r="E593" i="1"/>
  <c r="E592" i="1"/>
  <c r="E591" i="1"/>
  <c r="E590" i="1"/>
  <c r="E579" i="1"/>
  <c r="E573" i="1"/>
  <c r="E577" i="1" s="1"/>
  <c r="E571" i="1"/>
  <c r="E576" i="1" s="1"/>
  <c r="E559" i="1"/>
  <c r="E558" i="1"/>
  <c r="E557" i="1"/>
  <c r="E546" i="1"/>
  <c r="E545" i="1"/>
  <c r="E543" i="1"/>
  <c r="E541" i="1"/>
  <c r="E540" i="1"/>
  <c r="E533" i="1"/>
  <c r="E529" i="1"/>
  <c r="E532" i="1" s="1"/>
  <c r="E525" i="1"/>
  <c r="E515" i="1"/>
  <c r="E514" i="1"/>
  <c r="E509" i="1"/>
  <c r="E508" i="1"/>
  <c r="E507" i="1"/>
  <c r="E488" i="1"/>
  <c r="E487" i="1"/>
  <c r="E476" i="1"/>
  <c r="E479" i="1" s="1"/>
  <c r="E457" i="1"/>
  <c r="E452" i="1"/>
  <c r="E440" i="1"/>
  <c r="E439" i="1"/>
  <c r="E438" i="1"/>
  <c r="E437" i="1"/>
  <c r="E433" i="1"/>
  <c r="E430" i="1"/>
  <c r="E427" i="1"/>
  <c r="E431" i="1" s="1"/>
  <c r="E422" i="1"/>
  <c r="E404" i="1"/>
  <c r="E405" i="1" s="1"/>
  <c r="E403" i="1"/>
  <c r="E380" i="1"/>
  <c r="E379" i="1"/>
  <c r="E377" i="1"/>
  <c r="E376" i="1"/>
  <c r="E360" i="1"/>
  <c r="E359" i="1"/>
  <c r="E351" i="1"/>
  <c r="E350" i="1"/>
  <c r="E330" i="1"/>
  <c r="E327" i="1"/>
  <c r="E325" i="1"/>
  <c r="E324" i="1"/>
  <c r="E323" i="1"/>
  <c r="E317" i="1"/>
  <c r="E316" i="1"/>
  <c r="E315" i="1"/>
  <c r="E314" i="1"/>
  <c r="E313" i="1"/>
  <c r="E311" i="1"/>
  <c r="E306" i="1"/>
  <c r="E305" i="1"/>
  <c r="E304" i="1"/>
  <c r="E303" i="1"/>
  <c r="E301" i="1"/>
  <c r="E300" i="1"/>
  <c r="E299" i="1"/>
  <c r="E298" i="1"/>
  <c r="E297" i="1"/>
  <c r="E296" i="1"/>
  <c r="E294" i="1"/>
  <c r="E288" i="1"/>
  <c r="E293" i="1" s="1"/>
  <c r="E286" i="1"/>
  <c r="E285" i="1"/>
  <c r="E283" i="1"/>
  <c r="E280" i="1"/>
  <c r="E279" i="1"/>
  <c r="E278" i="1"/>
  <c r="E261" i="1"/>
  <c r="E260" i="1"/>
  <c r="E259" i="1"/>
  <c r="E258" i="1"/>
  <c r="E248" i="1"/>
  <c r="E240" i="1"/>
  <c r="E239" i="1"/>
  <c r="E242" i="1" s="1"/>
  <c r="E233" i="1"/>
  <c r="E232" i="1"/>
  <c r="E231" i="1"/>
  <c r="E230" i="1"/>
  <c r="E229" i="1"/>
  <c r="E228" i="1"/>
  <c r="E227" i="1"/>
  <c r="E222" i="1"/>
  <c r="E205" i="1"/>
  <c r="E204" i="1"/>
  <c r="E201" i="1"/>
  <c r="E197" i="1"/>
  <c r="E195" i="1"/>
  <c r="E192" i="1"/>
  <c r="E191" i="1"/>
  <c r="E190" i="1"/>
  <c r="E183" i="1"/>
  <c r="E176" i="1"/>
  <c r="E167" i="1"/>
  <c r="E166" i="1"/>
  <c r="E162" i="1"/>
  <c r="E165" i="1" s="1"/>
  <c r="E146" i="1"/>
  <c r="E145" i="1"/>
  <c r="E144" i="1"/>
  <c r="E143" i="1"/>
  <c r="E132" i="1"/>
  <c r="E131" i="1"/>
  <c r="E130" i="1"/>
  <c r="E124" i="1"/>
  <c r="E123" i="1"/>
  <c r="F117" i="1"/>
  <c r="E102" i="1"/>
  <c r="E101" i="1"/>
  <c r="E82" i="1"/>
  <c r="E81" i="1"/>
  <c r="E80" i="1"/>
  <c r="E61" i="1"/>
  <c r="E58" i="1"/>
  <c r="E56" i="1"/>
  <c r="E55" i="1"/>
  <c r="E54" i="1"/>
  <c r="E53" i="1"/>
  <c r="E41" i="1"/>
  <c r="E36" i="1"/>
  <c r="E40" i="1" s="1"/>
  <c r="E28" i="1"/>
  <c r="E24" i="1"/>
  <c r="E27" i="1" s="1"/>
  <c r="E17" i="1"/>
  <c r="E16" i="1"/>
  <c r="E15" i="1"/>
  <c r="E354" i="1" l="1"/>
  <c r="E406" i="1"/>
  <c r="E2992" i="1"/>
  <c r="E3093" i="1"/>
  <c r="E3511" i="1"/>
  <c r="E1885" i="1"/>
  <c r="E3158" i="1"/>
  <c r="E3164" i="1" s="1"/>
  <c r="E3742" i="1"/>
  <c r="E274" i="1"/>
  <c r="E1451" i="1"/>
  <c r="E2870" i="1"/>
  <c r="E3260" i="1"/>
  <c r="E3352" i="1"/>
  <c r="E3400" i="1"/>
  <c r="E3665" i="1"/>
  <c r="E3589" i="1"/>
  <c r="E2563" i="1"/>
  <c r="E384" i="1"/>
  <c r="E1277" i="1"/>
  <c r="E1989" i="1"/>
  <c r="E3399" i="1"/>
  <c r="E1742" i="1"/>
  <c r="E1774" i="1"/>
  <c r="E2454" i="1"/>
  <c r="E2515" i="1"/>
  <c r="E919" i="1"/>
  <c r="E1431" i="1"/>
  <c r="E1470" i="1"/>
  <c r="E2275" i="1"/>
  <c r="E595" i="1"/>
  <c r="E1776" i="1"/>
  <c r="E1778" i="1" s="1"/>
  <c r="E3102" i="1"/>
  <c r="E3579" i="1"/>
  <c r="E3679" i="1"/>
  <c r="E126" i="1"/>
  <c r="E565" i="1"/>
  <c r="E1365" i="1"/>
  <c r="E1787" i="1"/>
  <c r="E2300" i="1"/>
  <c r="E2339" i="1"/>
  <c r="E2673" i="1"/>
  <c r="E3112" i="1"/>
  <c r="E3514" i="1"/>
  <c r="E3703" i="1"/>
  <c r="E3744" i="1"/>
  <c r="E164" i="1"/>
  <c r="E1103" i="1"/>
  <c r="E2979" i="1"/>
  <c r="E3031" i="1"/>
  <c r="E42" i="1"/>
  <c r="E1973" i="1"/>
  <c r="E1920" i="1"/>
  <c r="E1974" i="1"/>
  <c r="E1978" i="1" s="1"/>
  <c r="E2433" i="1"/>
  <c r="E760" i="1"/>
  <c r="E1046" i="1"/>
  <c r="E1049" i="1" s="1"/>
  <c r="E1606" i="1"/>
  <c r="E1800" i="1"/>
  <c r="E3785" i="1"/>
  <c r="E106" i="1"/>
  <c r="E1388" i="1"/>
  <c r="E1935" i="1"/>
  <c r="E2170" i="1"/>
  <c r="E2599" i="1"/>
  <c r="E2692" i="1"/>
  <c r="E2907" i="1"/>
  <c r="E3459" i="1"/>
  <c r="E728" i="1"/>
  <c r="E991" i="1"/>
  <c r="E1477" i="1"/>
  <c r="E999" i="1"/>
  <c r="E1003" i="1" s="1"/>
  <c r="E1761" i="1"/>
  <c r="E2116" i="1"/>
  <c r="E2230" i="1"/>
  <c r="E39" i="1"/>
  <c r="E292" i="1"/>
  <c r="E369" i="1"/>
  <c r="E575" i="1"/>
  <c r="E667" i="1"/>
  <c r="E1240" i="1"/>
  <c r="E1569" i="1"/>
  <c r="E1605" i="1"/>
  <c r="E1624" i="1"/>
  <c r="E1798" i="1"/>
  <c r="E1873" i="1"/>
  <c r="E2576" i="1"/>
  <c r="E2644" i="1"/>
  <c r="E2750" i="1"/>
  <c r="E2817" i="1"/>
  <c r="E3335" i="1"/>
  <c r="E3374" i="1"/>
  <c r="E3401" i="1"/>
  <c r="E3450" i="1"/>
  <c r="E3474" i="1"/>
  <c r="E3677" i="1"/>
  <c r="E19" i="1"/>
  <c r="E134" i="1"/>
  <c r="E1850" i="1"/>
  <c r="I2219" i="1"/>
  <c r="E2314" i="1"/>
  <c r="E2418" i="1"/>
  <c r="E2706" i="1"/>
  <c r="E3075" i="1"/>
  <c r="E3174" i="1"/>
  <c r="E3659" i="1"/>
  <c r="E727" i="1"/>
  <c r="E1513" i="1"/>
  <c r="E2676" i="1"/>
  <c r="E3138" i="1"/>
  <c r="E3222" i="1"/>
  <c r="E3385" i="1"/>
  <c r="E3741" i="1"/>
  <c r="E432" i="1"/>
  <c r="E442" i="1" s="1"/>
  <c r="E1457" i="1"/>
  <c r="E2161" i="1"/>
  <c r="E2531" i="1"/>
  <c r="E2551" i="1"/>
  <c r="E2555" i="1" s="1"/>
  <c r="E2714" i="1"/>
  <c r="E2797" i="1"/>
  <c r="E3080" i="1"/>
  <c r="E3294" i="1"/>
  <c r="E3643" i="1"/>
  <c r="E1233" i="1"/>
  <c r="E1022" i="1"/>
  <c r="E1025" i="1" s="1"/>
  <c r="E1194" i="1"/>
  <c r="E1458" i="1"/>
  <c r="E1527" i="1"/>
  <c r="E1827" i="1"/>
  <c r="E2967" i="1"/>
  <c r="E2971" i="1" s="1"/>
  <c r="E3081" i="1"/>
  <c r="E3327" i="1"/>
  <c r="E1603" i="1"/>
  <c r="E25" i="1"/>
  <c r="E290" i="1"/>
  <c r="E381" i="1"/>
  <c r="E1278" i="1"/>
  <c r="E1459" i="1"/>
  <c r="E1697" i="1"/>
  <c r="E1717" i="1"/>
  <c r="E1733" i="1" s="1"/>
  <c r="E2259" i="1"/>
  <c r="E2722" i="1"/>
  <c r="E2804" i="1"/>
  <c r="E2839" i="1"/>
  <c r="E2918" i="1"/>
  <c r="E2958" i="1"/>
  <c r="E3206" i="1"/>
  <c r="E3272" i="1"/>
  <c r="E3578" i="1"/>
  <c r="E3582" i="1" s="1"/>
  <c r="E517" i="1"/>
  <c r="E720" i="1"/>
  <c r="E1622" i="1"/>
  <c r="E1629" i="1" s="1"/>
  <c r="E2378" i="1"/>
  <c r="E3129" i="1"/>
  <c r="E103" i="1"/>
  <c r="E650" i="1"/>
  <c r="E883" i="1"/>
  <c r="E1221" i="1"/>
  <c r="E1368" i="1"/>
  <c r="E1479" i="1"/>
  <c r="E1514" i="1"/>
  <c r="E1655" i="1"/>
  <c r="E1743" i="1"/>
  <c r="E1813" i="1"/>
  <c r="E1934" i="1"/>
  <c r="E2247" i="1"/>
  <c r="E2391" i="1"/>
  <c r="E2441" i="1"/>
  <c r="E2506" i="1"/>
  <c r="E2540" i="1"/>
  <c r="E2543" i="1" s="1"/>
  <c r="E2959" i="1"/>
  <c r="E3223" i="1"/>
  <c r="E3339" i="1"/>
  <c r="E3525" i="1"/>
  <c r="E3567" i="1"/>
  <c r="E104" i="1"/>
  <c r="E882" i="1"/>
  <c r="E1636" i="1"/>
  <c r="E1656" i="1"/>
  <c r="E1744" i="1"/>
  <c r="E1987" i="1"/>
  <c r="E2443" i="1"/>
  <c r="E2489" i="1"/>
  <c r="E2598" i="1"/>
  <c r="E2944" i="1"/>
  <c r="E3427" i="1"/>
  <c r="E3710" i="1"/>
  <c r="E3743" i="1"/>
  <c r="E157" i="1"/>
  <c r="E1316" i="1"/>
  <c r="E2370" i="1"/>
  <c r="E2674" i="1"/>
  <c r="E2784" i="1"/>
  <c r="E2861" i="1"/>
  <c r="E3342" i="1"/>
  <c r="E3533" i="1"/>
  <c r="E97" i="1"/>
  <c r="E511" i="1"/>
  <c r="E870" i="1"/>
  <c r="E1097" i="1"/>
  <c r="E1195" i="1"/>
  <c r="E1506" i="1"/>
  <c r="E1575" i="1"/>
  <c r="E1658" i="1"/>
  <c r="E2221" i="1"/>
  <c r="E3791" i="1" s="1"/>
  <c r="E3239" i="1"/>
  <c r="E209" i="1"/>
  <c r="E777" i="1"/>
  <c r="E1158" i="1"/>
  <c r="E1271" i="1"/>
  <c r="E1576" i="1"/>
  <c r="E1936" i="1"/>
  <c r="E1988" i="1"/>
  <c r="I2189" i="1"/>
  <c r="E2332" i="1"/>
  <c r="E2467" i="1"/>
  <c r="E2675" i="1"/>
  <c r="E2899" i="1"/>
  <c r="E3004" i="1"/>
  <c r="E3065" i="1"/>
  <c r="E3545" i="1"/>
  <c r="E3718" i="1"/>
  <c r="E3721" i="1" s="1"/>
  <c r="E26" i="1"/>
  <c r="E553" i="1"/>
  <c r="E805" i="1"/>
  <c r="E1010" i="1"/>
  <c r="E1548" i="1"/>
  <c r="E2591" i="1"/>
  <c r="E2656" i="1"/>
  <c r="E2830" i="1"/>
  <c r="E2929" i="1"/>
  <c r="E3246" i="1"/>
  <c r="E3309" i="1"/>
  <c r="E3361" i="1"/>
  <c r="E3437" i="1"/>
  <c r="E235" i="1"/>
  <c r="E503" i="1"/>
  <c r="E574" i="1"/>
  <c r="E666" i="1"/>
  <c r="E1009" i="1"/>
  <c r="E1293" i="1"/>
  <c r="E1340" i="1"/>
  <c r="E1578" i="1"/>
  <c r="E1673" i="1"/>
  <c r="E2090" i="1"/>
  <c r="E2635" i="1"/>
  <c r="E2765" i="1"/>
  <c r="E3047" i="1"/>
  <c r="E3488" i="1"/>
  <c r="E291" i="1"/>
  <c r="E382" i="1"/>
  <c r="E407" i="1"/>
  <c r="E458" i="1"/>
  <c r="E945" i="1"/>
  <c r="E1058" i="1"/>
  <c r="E1104" i="1"/>
  <c r="E1279" i="1"/>
  <c r="E1635" i="1"/>
  <c r="E1814" i="1"/>
  <c r="E2096" i="1"/>
  <c r="E2340" i="1"/>
  <c r="E2600" i="1"/>
  <c r="E2725" i="1"/>
  <c r="E2807" i="1"/>
  <c r="E3249" i="1"/>
  <c r="E3490" i="1"/>
  <c r="E3590" i="1"/>
  <c r="E3666" i="1"/>
  <c r="E3709" i="1"/>
  <c r="E59" i="1"/>
  <c r="E169" i="1"/>
  <c r="E328" i="1"/>
  <c r="E383" i="1"/>
  <c r="E408" i="1"/>
  <c r="E459" i="1"/>
  <c r="E946" i="1"/>
  <c r="E1059" i="1"/>
  <c r="E1134" i="1"/>
  <c r="E1366" i="1"/>
  <c r="E1937" i="1"/>
  <c r="E1990" i="1"/>
  <c r="E2097" i="1"/>
  <c r="E2341" i="1"/>
  <c r="E2415" i="1"/>
  <c r="E2981" i="1"/>
  <c r="E3387" i="1"/>
  <c r="E3491" i="1"/>
  <c r="E3591" i="1"/>
  <c r="E3667" i="1"/>
  <c r="E3489" i="1"/>
  <c r="E60" i="1"/>
  <c r="E329" i="1"/>
  <c r="E1135" i="1"/>
  <c r="E2416" i="1"/>
  <c r="E2693" i="1"/>
  <c r="E3711" i="1"/>
  <c r="E948" i="1"/>
  <c r="E1638" i="1"/>
  <c r="E1760" i="1"/>
  <c r="E1767" i="1" s="1"/>
  <c r="E2281" i="1"/>
  <c r="E2417" i="1"/>
  <c r="E2694" i="1"/>
  <c r="E2868" i="1"/>
  <c r="E2956" i="1"/>
  <c r="E3181" i="1"/>
  <c r="E3220" i="1"/>
  <c r="E3512" i="1"/>
  <c r="E530" i="1"/>
  <c r="E881" i="1"/>
  <c r="E1239" i="1"/>
  <c r="E2282" i="1"/>
  <c r="E2869" i="1"/>
  <c r="E2957" i="1"/>
  <c r="E3137" i="1"/>
  <c r="E3182" i="1"/>
  <c r="E3221" i="1"/>
  <c r="E3513" i="1"/>
  <c r="E531" i="1"/>
  <c r="E1604" i="1"/>
  <c r="E2809" i="1" l="1"/>
  <c r="E585" i="1"/>
  <c r="E692" i="1"/>
  <c r="E1805" i="1"/>
  <c r="E741" i="1"/>
  <c r="E3251" i="1"/>
  <c r="E49" i="1"/>
  <c r="E3403" i="1"/>
  <c r="E2679" i="1"/>
  <c r="E2727" i="1"/>
  <c r="E30" i="1"/>
  <c r="E117" i="1"/>
  <c r="E2445" i="1"/>
  <c r="E1486" i="1"/>
  <c r="E1817" i="1"/>
  <c r="E3681" i="1"/>
  <c r="E319" i="1"/>
  <c r="E1617" i="1"/>
  <c r="E2697" i="1"/>
  <c r="E1244" i="1"/>
  <c r="E1016" i="1"/>
  <c r="E1199" i="1"/>
  <c r="E910" i="1"/>
  <c r="E3392" i="1"/>
  <c r="E75" i="1"/>
  <c r="E2602" i="1"/>
  <c r="E1107" i="1"/>
  <c r="E1660" i="1"/>
  <c r="E3084" i="1"/>
  <c r="E535" i="1"/>
  <c r="E2285" i="1"/>
  <c r="E2983" i="1"/>
  <c r="E3773" i="1"/>
  <c r="E2081" i="1"/>
  <c r="E1747" i="1"/>
  <c r="E2962" i="1"/>
  <c r="E1461" i="1"/>
  <c r="E1517" i="1"/>
  <c r="E3713" i="1"/>
  <c r="E1967" i="1"/>
  <c r="E3141" i="1"/>
  <c r="E1282" i="1"/>
  <c r="E1580" i="1"/>
  <c r="E3344" i="1"/>
  <c r="E3671" i="1"/>
  <c r="E2872" i="1"/>
  <c r="E3594" i="1"/>
  <c r="E2343" i="1"/>
  <c r="E967" i="1"/>
  <c r="E1640" i="1"/>
  <c r="E3497" i="1"/>
  <c r="E1379" i="1"/>
  <c r="E342" i="1"/>
  <c r="E2099" i="1"/>
  <c r="E472" i="1"/>
  <c r="E1137" i="1"/>
  <c r="E1077" i="1"/>
  <c r="E411" i="1"/>
  <c r="E3516" i="1"/>
  <c r="E3229" i="1"/>
  <c r="E398" i="1"/>
  <c r="E2424" i="1"/>
  <c r="E3187" i="1"/>
  <c r="E3792" i="1" l="1"/>
  <c r="E3794" i="1" s="1"/>
</calcChain>
</file>

<file path=xl/sharedStrings.xml><?xml version="1.0" encoding="utf-8"?>
<sst xmlns="http://schemas.openxmlformats.org/spreadsheetml/2006/main" count="9101" uniqueCount="1580">
  <si>
    <t>COVINGTON INDEPENDENT PUBLIC SCHOOLS</t>
  </si>
  <si>
    <t xml:space="preserve">GENERAL FUND BUDGET </t>
  </si>
  <si>
    <t>FISCAL YEAR 2024</t>
  </si>
  <si>
    <t>ACCOUNTS FOR:</t>
  </si>
  <si>
    <t xml:space="preserve"> </t>
  </si>
  <si>
    <t xml:space="preserve"> REVISED  </t>
  </si>
  <si>
    <t xml:space="preserve">1        GENERAL FUND                       </t>
  </si>
  <si>
    <t xml:space="preserve"> BUDGET  </t>
  </si>
  <si>
    <t>NOTES</t>
  </si>
  <si>
    <t>Outstanding encumbrances from '23 (in various budget lines)</t>
  </si>
  <si>
    <t>Use org 0001081 0899 for now.</t>
  </si>
  <si>
    <t xml:space="preserve">0001019 DISTRICT WIDE FIELD TRIPS          </t>
  </si>
  <si>
    <t>-----------------------------------</t>
  </si>
  <si>
    <t>0001019</t>
  </si>
  <si>
    <t>0130</t>
  </si>
  <si>
    <t xml:space="preserve">CLASSIFIED REGULAR SALARY                                   </t>
  </si>
  <si>
    <t>Took out - nothing charged in '11</t>
  </si>
  <si>
    <t>0221</t>
  </si>
  <si>
    <t xml:space="preserve">EMPLOYER FICA CONTRIBUTION                                  </t>
  </si>
  <si>
    <t>0222</t>
  </si>
  <si>
    <t xml:space="preserve">EMPLOYER MEDICARE CONTRIBUTION                              </t>
  </si>
  <si>
    <t>0232</t>
  </si>
  <si>
    <t xml:space="preserve">CERS EMPLOYER CONTRIBUTION                                  </t>
  </si>
  <si>
    <t xml:space="preserve">TOTAL DISTRICT WIDE FIELD TRIPS     </t>
  </si>
  <si>
    <t xml:space="preserve">0001019 DISTRICTWIDE FIELD TRIPS       </t>
  </si>
  <si>
    <t>0131</t>
  </si>
  <si>
    <t>CLASSIFIED SUPPLEMENTAL</t>
  </si>
  <si>
    <t>0894</t>
  </si>
  <si>
    <t>FIELD TRIPS</t>
  </si>
  <si>
    <t>TOTAL DISTRICTWIDE FIELD TRIPS</t>
  </si>
  <si>
    <t xml:space="preserve">0001025 ELEMENTARY ATHLETIC INSTR GF       </t>
  </si>
  <si>
    <t>0001025</t>
  </si>
  <si>
    <t>0112</t>
  </si>
  <si>
    <t xml:space="preserve">CERT PERM SALARY EXTRA DUTIES                               </t>
  </si>
  <si>
    <t>0113</t>
  </si>
  <si>
    <t>OTHER CERTIFIED</t>
  </si>
  <si>
    <t>0140</t>
  </si>
  <si>
    <t>OVERTIME</t>
  </si>
  <si>
    <t>0170</t>
  </si>
  <si>
    <t>PARAPROFESSIONALS</t>
  </si>
  <si>
    <t>0231</t>
  </si>
  <si>
    <t>KTRS EMPLOYER CONTRIBUTION</t>
  </si>
  <si>
    <t>0322</t>
  </si>
  <si>
    <t>CONSULTANT</t>
  </si>
  <si>
    <t>0349</t>
  </si>
  <si>
    <t>OTHER PROFESSIONAL SERVICES</t>
  </si>
  <si>
    <t>0610</t>
  </si>
  <si>
    <t xml:space="preserve">GENERAL SUPPLIES                                            </t>
  </si>
  <si>
    <t>0674</t>
  </si>
  <si>
    <t>AWARDS</t>
  </si>
  <si>
    <t xml:space="preserve">TOTAL ELEMENTARY ATHLETIC INSTR GF  </t>
  </si>
  <si>
    <t xml:space="preserve">0001029 ATTENDANCE SERVICES G.F.           </t>
  </si>
  <si>
    <t>0001029</t>
  </si>
  <si>
    <t>0110</t>
  </si>
  <si>
    <t xml:space="preserve">CERTIFIED PERMANENT SALARY                                  </t>
  </si>
  <si>
    <t>0111</t>
  </si>
  <si>
    <t xml:space="preserve">CERT.PERM.SALARY EXTENDED DAYS                              </t>
  </si>
  <si>
    <t xml:space="preserve">OTHER CERTIFIED (STIPENDS-ETC)                              </t>
  </si>
  <si>
    <t xml:space="preserve">CLASSIFIED SUPPLEMENTAL                                     </t>
  </si>
  <si>
    <t>S. R.</t>
  </si>
  <si>
    <t xml:space="preserve">KTRS EMPLOYER CONTRIBUTION                                  </t>
  </si>
  <si>
    <t>0338</t>
  </si>
  <si>
    <t>REGISTRATION FEES</t>
  </si>
  <si>
    <t>PROFESSIONAL SERVICES</t>
  </si>
  <si>
    <t>0435</t>
  </si>
  <si>
    <t>VEHICLE REPAIR</t>
  </si>
  <si>
    <t>0532</t>
  </si>
  <si>
    <t xml:space="preserve">TELEPHONE                                                   </t>
  </si>
  <si>
    <t>0559</t>
  </si>
  <si>
    <t>PRINTING</t>
  </si>
  <si>
    <t>0580</t>
  </si>
  <si>
    <t xml:space="preserve">TRAVEL                                       </t>
  </si>
  <si>
    <t>0616</t>
  </si>
  <si>
    <t xml:space="preserve">FOOD                                                        </t>
  </si>
  <si>
    <t>0647</t>
  </si>
  <si>
    <t>REFERENCE MATERIALS</t>
  </si>
  <si>
    <t>0679</t>
  </si>
  <si>
    <t xml:space="preserve">OTHER STUDENT ACTIVITIES                                    </t>
  </si>
  <si>
    <t>0734</t>
  </si>
  <si>
    <t>TECH HRDWR</t>
  </si>
  <si>
    <t>0735</t>
  </si>
  <si>
    <t>TECH SOFTWARE</t>
  </si>
  <si>
    <t xml:space="preserve">TOTAL ATTENDANCE SERVICES G.F.      </t>
  </si>
  <si>
    <t>0001030 SOCIAL WORK SERVICES - HOMELESS PROGRAM</t>
  </si>
  <si>
    <t>0001030</t>
  </si>
  <si>
    <t>Mckinney Vento pays for all non-personnel - only GF pays for salary</t>
  </si>
  <si>
    <t>0519</t>
  </si>
  <si>
    <t>STUDENT TRANSPORTATION</t>
  </si>
  <si>
    <t>0531</t>
  </si>
  <si>
    <t>POSTAGE</t>
  </si>
  <si>
    <t>0549</t>
  </si>
  <si>
    <t>OTHER ADVERTISING</t>
  </si>
  <si>
    <t xml:space="preserve">TRAVEL                      </t>
  </si>
  <si>
    <t>SUPPLIES</t>
  </si>
  <si>
    <t>0643</t>
  </si>
  <si>
    <t>SUPPLEMENTAL BOOKS</t>
  </si>
  <si>
    <t>0680</t>
  </si>
  <si>
    <t>WELFARE</t>
  </si>
  <si>
    <t>0891</t>
  </si>
  <si>
    <t>DIPLOMA &amp; GRADUATION EXPENSES</t>
  </si>
  <si>
    <t>INSTRUCTIONAL FIELD TRIP</t>
  </si>
  <si>
    <t>TOTAL SOCIAL WORK SERVICES - HOMELESS PROGRAM</t>
  </si>
  <si>
    <t xml:space="preserve">0001037 HEALTH SERVICES GF                 </t>
  </si>
  <si>
    <t>0001037</t>
  </si>
  <si>
    <t>0150</t>
  </si>
  <si>
    <t>SUBS</t>
  </si>
  <si>
    <t>REGISTRATION</t>
  </si>
  <si>
    <t>0345</t>
  </si>
  <si>
    <t xml:space="preserve">MEDICAL SERVICES                                            </t>
  </si>
  <si>
    <t>OTHER PROF SERVICES</t>
  </si>
  <si>
    <t xml:space="preserve">TRAVEL                       </t>
  </si>
  <si>
    <t>FOOD</t>
  </si>
  <si>
    <t>0733</t>
  </si>
  <si>
    <t>TECH HARDWARE</t>
  </si>
  <si>
    <t xml:space="preserve">TOTAL HEALTH SERVICES GF            </t>
  </si>
  <si>
    <t xml:space="preserve">0001043 SPEECH PATHOLOGY GF                </t>
  </si>
  <si>
    <t>0001043</t>
  </si>
  <si>
    <t xml:space="preserve">TOTAL SPEECH PATHOLOGY GF           </t>
  </si>
  <si>
    <t xml:space="preserve">0001047 LANGUAGE INTERPRETER               </t>
  </si>
  <si>
    <t>0001047</t>
  </si>
  <si>
    <t xml:space="preserve">OTHER PROFESSIONAL SERVICES                                 </t>
  </si>
  <si>
    <t>TELEPHONE</t>
  </si>
  <si>
    <t>Move to org 0001124 per KDE IDEA-B audit 5/19/23</t>
  </si>
  <si>
    <t xml:space="preserve">TOTAL LANGUAGE INTERPRETER          </t>
  </si>
  <si>
    <t xml:space="preserve">0001052 IMPROVEMENT OF INSTRUCTION         </t>
  </si>
  <si>
    <t>0001052</t>
  </si>
  <si>
    <t>EDUCATION CONSULTANT</t>
  </si>
  <si>
    <t xml:space="preserve">TRAVEL </t>
  </si>
  <si>
    <t>0646</t>
  </si>
  <si>
    <t>TESTS</t>
  </si>
  <si>
    <t>TECH-RELATED HARDWARE</t>
  </si>
  <si>
    <t>0739</t>
  </si>
  <si>
    <t>OTHER EQUIPMENT</t>
  </si>
  <si>
    <t xml:space="preserve">TOTAL IMPROVEMENT OF INSTRUCTION    </t>
  </si>
  <si>
    <t xml:space="preserve">0001059 MEDIA CENTER GF                    </t>
  </si>
  <si>
    <t>0001059</t>
  </si>
  <si>
    <t>0432</t>
  </si>
  <si>
    <t xml:space="preserve">TECH-RELATED REPS &amp; MAINT                                   </t>
  </si>
  <si>
    <t xml:space="preserve">TOTAL MEDIA CENTER GF               </t>
  </si>
  <si>
    <t xml:space="preserve">0001071 ACCUMULATED SICK LEAVE PAY         </t>
  </si>
  <si>
    <t>0001071</t>
  </si>
  <si>
    <t>See org 0011071</t>
  </si>
  <si>
    <t>0291</t>
  </si>
  <si>
    <t xml:space="preserve">ACCRUED SICK LEAVE PAID                                     </t>
  </si>
  <si>
    <t xml:space="preserve">TOTAL ACCUMULATED SICK LEAVE PAY    </t>
  </si>
  <si>
    <t xml:space="preserve">0001081 DISTRICT WIDE PAYROLL BILLINGS     </t>
  </si>
  <si>
    <t>0001081</t>
  </si>
  <si>
    <t>0214</t>
  </si>
  <si>
    <t xml:space="preserve">GROUP DENTAL INSURANCE                                      </t>
  </si>
  <si>
    <t>Dental insurance - Delta Dental (2,200x12)</t>
  </si>
  <si>
    <t>TOTAL DISTRICT WIDE PAYROLL BILLINGS</t>
  </si>
  <si>
    <t xml:space="preserve">0001087 DIST WIDE BUILDING OPERAT.         </t>
  </si>
  <si>
    <t>0001087</t>
  </si>
  <si>
    <t>S. S. plus custodian subs</t>
  </si>
  <si>
    <t>8/28 no charges</t>
  </si>
  <si>
    <t>Student Workers</t>
  </si>
  <si>
    <t xml:space="preserve">hitting for several </t>
  </si>
  <si>
    <t xml:space="preserve">CLASSIFIED OVERTIME SALARY                                  </t>
  </si>
  <si>
    <t>years</t>
  </si>
  <si>
    <t>0347</t>
  </si>
  <si>
    <t xml:space="preserve">SECURITY SERVICES                                           </t>
  </si>
  <si>
    <t>0411</t>
  </si>
  <si>
    <t xml:space="preserve">WATER/SEWAGE                                                </t>
  </si>
  <si>
    <t>0411M</t>
  </si>
  <si>
    <t xml:space="preserve">WATER/SEWAGE - MEIKEN                                               </t>
  </si>
  <si>
    <t>0421</t>
  </si>
  <si>
    <t>GARBAGE</t>
  </si>
  <si>
    <t>0425</t>
  </si>
  <si>
    <t>PEST CONTROL</t>
  </si>
  <si>
    <t>0429</t>
  </si>
  <si>
    <t>R &amp; M - OTHER</t>
  </si>
  <si>
    <t>0433</t>
  </si>
  <si>
    <t>EQUIPMENT REPAIR &amp; MAINT</t>
  </si>
  <si>
    <t>0434</t>
  </si>
  <si>
    <t>BUILDING REPAIRS &amp; MAINT</t>
  </si>
  <si>
    <t>0498</t>
  </si>
  <si>
    <t>FENCING REPAIR &amp; MAINT</t>
  </si>
  <si>
    <t>0621</t>
  </si>
  <si>
    <t xml:space="preserve">NATURAL GAS                                                 </t>
  </si>
  <si>
    <t>0622</t>
  </si>
  <si>
    <t xml:space="preserve">ELECTRICITY                                                 </t>
  </si>
  <si>
    <t>0622M</t>
  </si>
  <si>
    <t xml:space="preserve">ELECTRICITY  - MEIKEN                                               </t>
  </si>
  <si>
    <t>0710</t>
  </si>
  <si>
    <t>LAND IMPROVEMENTS</t>
  </si>
  <si>
    <t xml:space="preserve">TOTAL DIST WIDE BUILDING OPERAT.    </t>
  </si>
  <si>
    <t xml:space="preserve">0001089 SECURITY  OPERATIONS      </t>
  </si>
  <si>
    <t>0001089</t>
  </si>
  <si>
    <t xml:space="preserve">REGISTRATION FEES                                           </t>
  </si>
  <si>
    <t>moving to org 0001420 safety to be under all one org</t>
  </si>
  <si>
    <t xml:space="preserve">PRINTING - OTHER                                            </t>
  </si>
  <si>
    <t xml:space="preserve">TRAVEL                                   </t>
  </si>
  <si>
    <t>0893</t>
  </si>
  <si>
    <t>UNIFORMS</t>
  </si>
  <si>
    <t xml:space="preserve">TOTAL SAFETY &amp; SECURITY  OPERATIONS </t>
  </si>
  <si>
    <t xml:space="preserve">0001108 ARCHITECT &amp; ENGNR GF               </t>
  </si>
  <si>
    <t>0001108</t>
  </si>
  <si>
    <t>0335</t>
  </si>
  <si>
    <t xml:space="preserve">OTHER PROFESSIONAL CONSULTANT                               </t>
  </si>
  <si>
    <t>8/28/23 decreased based on actuals</t>
  </si>
  <si>
    <t xml:space="preserve">TOTAL ARCHITECT &amp; ENGNR GF          </t>
  </si>
  <si>
    <t xml:space="preserve">0001112 DEBT SERVICE GF                    </t>
  </si>
  <si>
    <t>0001112</t>
  </si>
  <si>
    <t>0831</t>
  </si>
  <si>
    <t>PRINCIPAL</t>
  </si>
  <si>
    <t>Energy savings project - pulled bond payment schedule 3/12/23</t>
  </si>
  <si>
    <t>6/22 per Compass we can charge</t>
  </si>
  <si>
    <t>0832</t>
  </si>
  <si>
    <t xml:space="preserve">INTEREST                                                    </t>
  </si>
  <si>
    <t>Energy savings project</t>
  </si>
  <si>
    <t xml:space="preserve">energy savings bond payment to </t>
  </si>
  <si>
    <t>building cash - we can afford to do</t>
  </si>
  <si>
    <t xml:space="preserve">TOTAL DEBT SERVICE GF               </t>
  </si>
  <si>
    <t>this for FY23 - approved by Garrison-</t>
  </si>
  <si>
    <t>will look at each year if we can do it or not</t>
  </si>
  <si>
    <t xml:space="preserve">0001113 FUND TRANSFERS FROM GF             </t>
  </si>
  <si>
    <t>8/25/23 took out bond payment for GF - will</t>
  </si>
  <si>
    <t>pay out of building fund.</t>
  </si>
  <si>
    <t>0001113</t>
  </si>
  <si>
    <t>0910</t>
  </si>
  <si>
    <t xml:space="preserve">FUND TRANSFERS OUT                                          </t>
  </si>
  <si>
    <t>KETS match $75,000</t>
  </si>
  <si>
    <t>Chapman match $225,000 as estimate</t>
  </si>
  <si>
    <t xml:space="preserve">TOTAL FUND TRANSFERS FROM GF        </t>
  </si>
  <si>
    <t>Summer school $0 - ESSER funds for now</t>
  </si>
  <si>
    <t xml:space="preserve">0001117 GIFTED AND TALENTED DIST. WIDE     </t>
  </si>
  <si>
    <t>0001117</t>
  </si>
  <si>
    <t>Plus fringes not covered by G&amp;T state grant</t>
  </si>
  <si>
    <t xml:space="preserve">TRAVEL                   </t>
  </si>
  <si>
    <t xml:space="preserve">TESTS                                                       </t>
  </si>
  <si>
    <t>TECH RELATED HARDWARE</t>
  </si>
  <si>
    <t>TOTAL GIFTED AND TALENTED DIST. WIDE</t>
  </si>
  <si>
    <t xml:space="preserve">0001118 DIST WIDE GENERAL INSTR. GF        </t>
  </si>
  <si>
    <t>0001118</t>
  </si>
  <si>
    <t xml:space="preserve">no formula tied to this amount yet </t>
  </si>
  <si>
    <t>Cut another 7 positions for FY24 - certified due to student count</t>
  </si>
  <si>
    <t>Cut another 7 positions for FY24 - classified due to student count</t>
  </si>
  <si>
    <t>S.A. &amp; B. G., other DW teachers + 10/21 rank IV salary increase</t>
  </si>
  <si>
    <t>$250,000 (5 teachers) plus fringes due to increased enrollment projection.</t>
  </si>
  <si>
    <t>S. A. &amp; K.D.</t>
  </si>
  <si>
    <t xml:space="preserve">$231,000 with fringes (221,000 salary) added for FY24 step increases-0110 certified       </t>
  </si>
  <si>
    <t>added 3/10/23</t>
  </si>
  <si>
    <t xml:space="preserve">$143,000 with fringes (107,000 salary) added for FY24 step increases-0130 certified        </t>
  </si>
  <si>
    <t>8/19/19 per Grein &amp; Thompson - grade level leads - 6 or 7 per elem</t>
  </si>
  <si>
    <t>Step increases are now in each org when figuring salaries for start of year 8/25/23.</t>
  </si>
  <si>
    <t>0114</t>
  </si>
  <si>
    <t>NATIONAL BOARD CERTIFIED</t>
  </si>
  <si>
    <t>school - estimate for now $35,000 + 10/22 HMS/HHS sub coverage $24 per hour</t>
  </si>
  <si>
    <t>$50,000 plus fringes - approximate 55K for rank changes that happen during year</t>
  </si>
  <si>
    <t>0116</t>
  </si>
  <si>
    <t>SPEECH LANGUAGE PATH CERTIFIED</t>
  </si>
  <si>
    <t>Speech supplements per state - six $2,000 each certified</t>
  </si>
  <si>
    <t>7/11/23 added to each school instead</t>
  </si>
  <si>
    <t>3-4K each for rank change - around 12.5 people only</t>
  </si>
  <si>
    <t>0120</t>
  </si>
  <si>
    <t xml:space="preserve">CERTIFIED SUBSTITUTE SALARY                                 </t>
  </si>
  <si>
    <t>B. G. + S. S.</t>
  </si>
  <si>
    <t xml:space="preserve">$ for I/A to teacher pay stipend for over 2  periods </t>
  </si>
  <si>
    <t>0133</t>
  </si>
  <si>
    <t>SPEECH LANGUAGE PATH CLASSIFIED</t>
  </si>
  <si>
    <t>Speech supplements per state - one $2,000 each classified</t>
  </si>
  <si>
    <t>0280</t>
  </si>
  <si>
    <t>ON-BEHALF PAYMENTS</t>
  </si>
  <si>
    <t>New for FY22 budget to include at beginning of budget cycle</t>
  </si>
  <si>
    <t>EDUCATIONAL CONSULTANT</t>
  </si>
  <si>
    <t>Teach for America (5,000 per teacher) + 21K PD event at Receptions August 2023 per A. Garrison</t>
  </si>
  <si>
    <t>7/23 add 10K for madison for leadership meetings</t>
  </si>
  <si>
    <t>0529UE</t>
  </si>
  <si>
    <t>UNEMPLOYMENT INSURANCE</t>
  </si>
  <si>
    <t>based on trends 3/12/23</t>
  </si>
  <si>
    <t>all year</t>
  </si>
  <si>
    <t>Per Becky 8/10 total is $18,185 for PD event.</t>
  </si>
  <si>
    <t>Leaving money in acct due to Madison</t>
  </si>
  <si>
    <t>0553</t>
  </si>
  <si>
    <t>PRINTING/BINDING</t>
  </si>
  <si>
    <t>issue with parking.</t>
  </si>
  <si>
    <t>0561</t>
  </si>
  <si>
    <t>TUITION</t>
  </si>
  <si>
    <t>NKU tuition young scholars reimbursement - 10 applicants $4,000 each per year starts in FY23-FY26</t>
  </si>
  <si>
    <t>0011139</t>
  </si>
  <si>
    <t>0240</t>
  </si>
  <si>
    <t>Bloomboard tuition reimbursement - up to 50 applicants $1,000 per year (first co-hort) for FY23</t>
  </si>
  <si>
    <t>Tuition for I/A program per Garrison 4/7/22</t>
  </si>
  <si>
    <t xml:space="preserve">TRAVEL                                    </t>
  </si>
  <si>
    <t>Schools carryover approximately $30,000 &amp; section 7 $0 + 1,200 pilot program on poster printing</t>
  </si>
  <si>
    <t>8/15/23 carryover is $20,690.59</t>
  </si>
  <si>
    <t>Per A.G. 10/4/22 young scholars food at NKU</t>
  </si>
  <si>
    <t>PO 202359629</t>
  </si>
  <si>
    <t>0616F</t>
  </si>
  <si>
    <t>Food to support Title 1 - title 1 will be paying for something of GF</t>
  </si>
  <si>
    <t>under xxx1118-0610</t>
  </si>
  <si>
    <t>0610F</t>
  </si>
  <si>
    <t>Like food - title can pay for something of GF</t>
  </si>
  <si>
    <t>0734F</t>
  </si>
  <si>
    <t>SUPPLEMENTAL MATERIALS</t>
  </si>
  <si>
    <t>Holding place for strategic plan</t>
  </si>
  <si>
    <t>OTHER STUDENT ACTIVITIES</t>
  </si>
  <si>
    <t>FURNITURE &amp; FIXTURES</t>
  </si>
  <si>
    <t>0810</t>
  </si>
  <si>
    <t>DUES/FEES</t>
  </si>
  <si>
    <t>Accrediation fees for district</t>
  </si>
  <si>
    <t>VARIOUS LINES use 0349 for now</t>
  </si>
  <si>
    <t xml:space="preserve">Summer program - due to city not funding program anymore </t>
  </si>
  <si>
    <t>3/12 ESSER II/III still</t>
  </si>
  <si>
    <t>until budget is provided each year</t>
  </si>
  <si>
    <t xml:space="preserve">TOTAL DIST WIDE GENERAL INSTR. GF   </t>
  </si>
  <si>
    <t xml:space="preserve">0001119 PSYCHOLOGIST/PSYCHOMETRIST G.F     </t>
  </si>
  <si>
    <t>0001119</t>
  </si>
  <si>
    <t>nothing spent in 16 or 17 - took out 8/17</t>
  </si>
  <si>
    <t>See org 0001271-student support services</t>
  </si>
  <si>
    <t>PHONE</t>
  </si>
  <si>
    <t>F&amp;F</t>
  </si>
  <si>
    <t>TOTAL PSYCHOLOGIST/PSYCHOMETRIST G.F</t>
  </si>
  <si>
    <t xml:space="preserve">0001121 ELEM SPECIAL INSTR GF              </t>
  </si>
  <si>
    <t>0001121</t>
  </si>
  <si>
    <t>S. P.</t>
  </si>
  <si>
    <t>0298</t>
  </si>
  <si>
    <t>OTHER EMPLOYER PAID BENEFITIS</t>
  </si>
  <si>
    <t xml:space="preserve">TOTAL ELEM SPECIAL INSTR GF         </t>
  </si>
  <si>
    <t xml:space="preserve">0001123 SPEC ED COORD - EXCESS COST        </t>
  </si>
  <si>
    <t>0001123</t>
  </si>
  <si>
    <t>To pay Kenton County for visual impairment teacher</t>
  </si>
  <si>
    <t>10/11 adjusted to correct $ per M. Bertke</t>
  </si>
  <si>
    <t xml:space="preserve">PRINT/BIND - PUBLICATIONS                                   </t>
  </si>
  <si>
    <t xml:space="preserve">TUITION TO KY LSD                                           </t>
  </si>
  <si>
    <t>Co-op &amp; Kenton Cty 10/11 adjusted to correct $ per M. Bertke</t>
  </si>
  <si>
    <t>0581</t>
  </si>
  <si>
    <t xml:space="preserve">TRAVEL - IN DISTRICT                                        </t>
  </si>
  <si>
    <t>0582</t>
  </si>
  <si>
    <t xml:space="preserve">TRAVEL - OUT OF DISTRICT                                    </t>
  </si>
  <si>
    <t xml:space="preserve">TOTAL SPEC ED COORD - EXCESS COST   </t>
  </si>
  <si>
    <t>DISTRICTWIDE LEP</t>
  </si>
  <si>
    <t>0001124</t>
  </si>
  <si>
    <t xml:space="preserve">Interpreter sub </t>
  </si>
  <si>
    <t>REG FEES</t>
  </si>
  <si>
    <t>TRAVEL</t>
  </si>
  <si>
    <t>FOOD NON INSTRUCTIONAL</t>
  </si>
  <si>
    <t>0644</t>
  </si>
  <si>
    <t>TEXTBOOKS</t>
  </si>
  <si>
    <t>0653</t>
  </si>
  <si>
    <t>SOFTWARE-TECHNOLOGY RELATED</t>
  </si>
  <si>
    <t>TOTAL DISTRICTWIDE LEP</t>
  </si>
  <si>
    <t xml:space="preserve">0001137 HOME &amp; HOSP INSTR GF               </t>
  </si>
  <si>
    <t>0001137</t>
  </si>
  <si>
    <t>Home visits-no charges hitting FY23 - adjusted down 7/11/23</t>
  </si>
  <si>
    <t>Home visits</t>
  </si>
  <si>
    <t xml:space="preserve">TOTAL HOME &amp; HOSP INSTR GF          </t>
  </si>
  <si>
    <t xml:space="preserve">0001148 DIST. WIDE SBDM COUNCILS           </t>
  </si>
  <si>
    <t>0001148</t>
  </si>
  <si>
    <t xml:space="preserve">TOTAL DIST. WIDE SBDM COUNCILS      </t>
  </si>
  <si>
    <t>0001198 STATE AGENCY CHILDREN (KECSAC)</t>
  </si>
  <si>
    <t>State funding was cut for FY19 - all staff/non-personnel has to go into GF now.</t>
  </si>
  <si>
    <t xml:space="preserve">6/23 not applying for state kecsac funding per Sarah 6/9/23 - AG and JW know-add more into GF </t>
  </si>
  <si>
    <t>0001198</t>
  </si>
  <si>
    <t xml:space="preserve">TRAVEL                            </t>
  </si>
  <si>
    <t>TECHNOLOGY-RELATED HARDWARE</t>
  </si>
  <si>
    <t>6/23 add money for field trips</t>
  </si>
  <si>
    <t>TOTAL STATE AGENCY CHILDREN (KECSAC)</t>
  </si>
  <si>
    <t>SUMMER PROGRAM:</t>
  </si>
  <si>
    <t>0001258</t>
  </si>
  <si>
    <t>Per Alvin 6/8/23-week in August</t>
  </si>
  <si>
    <t>TOTAL SUMMER PROGRAM</t>
  </si>
  <si>
    <t xml:space="preserve">0001271 STUDENT SUPPORT SERVICES          </t>
  </si>
  <si>
    <t>0001271</t>
  </si>
  <si>
    <t xml:space="preserve">TRAVEL                                     </t>
  </si>
  <si>
    <t>TOTAL STUDENT SUPPORT SERVICES</t>
  </si>
  <si>
    <t>ARTS/HUMANITIES</t>
  </si>
  <si>
    <t>0001295</t>
  </si>
  <si>
    <t>TOTAL ARTS/HUMANITIES</t>
  </si>
  <si>
    <t>SAFETY</t>
  </si>
  <si>
    <t>0001420</t>
  </si>
  <si>
    <t>SECURITY SERVICES</t>
  </si>
  <si>
    <t>0352</t>
  </si>
  <si>
    <t>VIDEOS</t>
  </si>
  <si>
    <t>0626</t>
  </si>
  <si>
    <t>GASOLINE</t>
  </si>
  <si>
    <t>SOFTWARE</t>
  </si>
  <si>
    <t>TOTAL SAFETY</t>
  </si>
  <si>
    <t>COPIERS</t>
  </si>
  <si>
    <t>0001704</t>
  </si>
  <si>
    <t>0443</t>
  </si>
  <si>
    <t>LEASE</t>
  </si>
  <si>
    <t>3/12/23 new lease to start for FY24 - increased from 54,500 to 125K for now</t>
  </si>
  <si>
    <t>6/26/23 adjusted</t>
  </si>
  <si>
    <t>7/10/23 adjusted</t>
  </si>
  <si>
    <t>0444</t>
  </si>
  <si>
    <t>COPIER &amp; PRINTER CLICKS</t>
  </si>
  <si>
    <t xml:space="preserve">to correct lease </t>
  </si>
  <si>
    <t xml:space="preserve">to correct amount </t>
  </si>
  <si>
    <t>SUPPLIES-STAPLES</t>
  </si>
  <si>
    <t>payment for whole</t>
  </si>
  <si>
    <t xml:space="preserve">after talking to </t>
  </si>
  <si>
    <t>district for now</t>
  </si>
  <si>
    <t>Alvin.</t>
  </si>
  <si>
    <t>TOTAL</t>
  </si>
  <si>
    <t>8/25/23 ComDoc month to month</t>
  </si>
  <si>
    <t>0001759 OTHER COMMUNITY SERVICE BD PD (SERVICE LEARNING)</t>
  </si>
  <si>
    <t>0001759</t>
  </si>
  <si>
    <t>TOTAL OTHER COMMUNITY SERVICE BD PD</t>
  </si>
  <si>
    <t>until new equipment comes in for Tobisha.</t>
  </si>
  <si>
    <t xml:space="preserve">0001840 CONTINGENCY                        </t>
  </si>
  <si>
    <t>ComDoc higher - added some money 8/25/23.</t>
  </si>
  <si>
    <t>20K</t>
  </si>
  <si>
    <t>0001840</t>
  </si>
  <si>
    <t>0840</t>
  </si>
  <si>
    <t xml:space="preserve">CONTINGENCY                                                 </t>
  </si>
  <si>
    <t>0840R</t>
  </si>
  <si>
    <t xml:space="preserve">CONTINGENCY FOR RAISES                                               </t>
  </si>
  <si>
    <t xml:space="preserve">TOTAL CONTINGENCY                   </t>
  </si>
  <si>
    <t>DISTRICTWIDE BD PAID</t>
  </si>
  <si>
    <t>0001918</t>
  </si>
  <si>
    <t>TOTAL DISTRICTWIDE PD PAID</t>
  </si>
  <si>
    <t>DISTRICTWIDE SPECIAL EDUCATION</t>
  </si>
  <si>
    <t>0001921</t>
  </si>
  <si>
    <t>MEDICAL SERVICES</t>
  </si>
  <si>
    <t>Took out roughly $77,768 and moved to 0001921-0110 per Sarah 8/28/23</t>
  </si>
  <si>
    <t>TOTAL DISTRICTWIDE SPECIAL EDUCATION</t>
  </si>
  <si>
    <t>DISTRICTWIDE BUILDING MAINTENANCE</t>
  </si>
  <si>
    <t>0001987</t>
  </si>
  <si>
    <t>BUILDING REPAIR &amp; MAINTENANCE</t>
  </si>
  <si>
    <t>CENTRAL OFFICE ATTENDANCE</t>
  </si>
  <si>
    <t>0011029</t>
  </si>
  <si>
    <t>ktrs though-tina</t>
  </si>
  <si>
    <t>0650</t>
  </si>
  <si>
    <t>TECH RELATED REPAIRS</t>
  </si>
  <si>
    <t>TOTAL CENTRAL OFFICE ATTENDANCE</t>
  </si>
  <si>
    <t>HEALTH SERVICES</t>
  </si>
  <si>
    <t>0011037</t>
  </si>
  <si>
    <t>0160</t>
  </si>
  <si>
    <t xml:space="preserve">0011049 OCCUPATIONAL THERAPY               </t>
  </si>
  <si>
    <t>0011049</t>
  </si>
  <si>
    <t xml:space="preserve">TOTAL OCCUPATIONAL THERAPY          </t>
  </si>
  <si>
    <t xml:space="preserve">0011050 PHYSICAL THERAPY                   </t>
  </si>
  <si>
    <t>0011050</t>
  </si>
  <si>
    <t>OT/PT services for C. Scully</t>
  </si>
  <si>
    <t>&amp; A Step Ahead</t>
  </si>
  <si>
    <t xml:space="preserve">TOTAL PHYSICAL THERAPY              </t>
  </si>
  <si>
    <t xml:space="preserve">0011071 SCHOOL BOARD ACTIVITIES GF         </t>
  </si>
  <si>
    <t>0011071</t>
  </si>
  <si>
    <t>0190</t>
  </si>
  <si>
    <t xml:space="preserve">BOARD PER DIEM                                              </t>
  </si>
  <si>
    <t>DENTAL INSURANCE</t>
  </si>
  <si>
    <t>0219</t>
  </si>
  <si>
    <t xml:space="preserve">EDUCATORS LEGAL LIABILITY INS.                              </t>
  </si>
  <si>
    <t>Hard to determine fringe amounts for board members-no formula</t>
  </si>
  <si>
    <t>0260</t>
  </si>
  <si>
    <t xml:space="preserve">WORKMENS COMPENSATION                                       </t>
  </si>
  <si>
    <t>FY24 premium</t>
  </si>
  <si>
    <t>emergencies/timing issues - Garrison pot $500,000</t>
  </si>
  <si>
    <t>0299</t>
  </si>
  <si>
    <t xml:space="preserve">EMPLOYER PAID BENEFIT                                       </t>
  </si>
  <si>
    <t xml:space="preserve">Life-Mutual of Omaha </t>
  </si>
  <si>
    <t>0342</t>
  </si>
  <si>
    <t xml:space="preserve">AUDITING SERVICES                                           </t>
  </si>
  <si>
    <t>Per Eric 3/23 for FY23 audit</t>
  </si>
  <si>
    <t>0343</t>
  </si>
  <si>
    <t xml:space="preserve">LEGAL SERVICES                                              </t>
  </si>
  <si>
    <t>0344</t>
  </si>
  <si>
    <t>FINANCIAL SERVICES</t>
  </si>
  <si>
    <t>KSBA policy audit service per T. Haggard 3/23 board meeting</t>
  </si>
  <si>
    <t>EQUIPMENT REPAIR &amp; MAIN</t>
  </si>
  <si>
    <t>0522</t>
  </si>
  <si>
    <t xml:space="preserve">PROPERTY INSURANCE                                          </t>
  </si>
  <si>
    <t>0527</t>
  </si>
  <si>
    <t xml:space="preserve">STUDENT/ATHLETIC INSURANCE                                  </t>
  </si>
  <si>
    <t>0529</t>
  </si>
  <si>
    <t>OTHER INSURANCE</t>
  </si>
  <si>
    <t>FY24 estimate - took out cyber per Garrison &amp; Burtschy for FY24 too costly when we do have protection with KDE 7/11/23</t>
  </si>
  <si>
    <t>0542</t>
  </si>
  <si>
    <t>NEWSPAPER ADVERTISING</t>
  </si>
  <si>
    <t>OT ADVERTISING</t>
  </si>
  <si>
    <t xml:space="preserve">TRAVEL                                 </t>
  </si>
  <si>
    <t>0591</t>
  </si>
  <si>
    <t xml:space="preserve">SVC PRCH ANT DST/ED AY W/IN ST                              </t>
  </si>
  <si>
    <t>SUPPLIES TECH RELATED</t>
  </si>
  <si>
    <t xml:space="preserve">TECH-RELATED SOFTWARE                                </t>
  </si>
  <si>
    <t>Added 8/24/23 as estimate for SBDM minutes for schools - board initiative</t>
  </si>
  <si>
    <t xml:space="preserve">DUES &amp; FEES                                                 </t>
  </si>
  <si>
    <t>911 fees on tax bills $5,205 yearly</t>
  </si>
  <si>
    <t>0899</t>
  </si>
  <si>
    <t>OTHER MISC EXPENSES</t>
  </si>
  <si>
    <t>Spiking and retirement invoices for health insurance</t>
  </si>
  <si>
    <t>0960</t>
  </si>
  <si>
    <t>EXTRAORDINARY ITEM</t>
  </si>
  <si>
    <t xml:space="preserve">TOTAL SCHOOL BOARD ACTIVITIES GF    </t>
  </si>
  <si>
    <t xml:space="preserve">0011074 TAX ASSESSMENT &amp; COLLECTION GF     </t>
  </si>
  <si>
    <t>0011074</t>
  </si>
  <si>
    <t>0311</t>
  </si>
  <si>
    <t xml:space="preserve">TAX COLLECTION FEES                                         </t>
  </si>
  <si>
    <t>3/12/23 adjusted based on increase in how much we paid for FY22-FY23</t>
  </si>
  <si>
    <t>8/25/23 adjusted based on increase in how much we paid for FY22-FY23</t>
  </si>
  <si>
    <t>TOTAL TAX ASSESSMENT &amp; COLLECTION GF</t>
  </si>
  <si>
    <t xml:space="preserve">0011075 SUPERINTENDENTS' OFFICE GF         </t>
  </si>
  <si>
    <t>0011075</t>
  </si>
  <si>
    <t>OTHER EMPLOYER PAID BENEFITS</t>
  </si>
  <si>
    <t>A. G. - district pays for insurance (health, dental, KTRS, life, car allowance of $9,000)</t>
  </si>
  <si>
    <t>Added $ for 20 days vacation days to pay out Alvin Garrison-didn't change fringes</t>
  </si>
  <si>
    <t>EQUIPMENT REPAIR &amp; MAINTENANCE</t>
  </si>
  <si>
    <t>0642</t>
  </si>
  <si>
    <t xml:space="preserve">PERIODICALS &amp; NEWSPAPERS                                    </t>
  </si>
  <si>
    <t>0732</t>
  </si>
  <si>
    <t xml:space="preserve">VEHICLES                                                    </t>
  </si>
  <si>
    <t xml:space="preserve">OTHER MISC. EXPENSES                                        </t>
  </si>
  <si>
    <t xml:space="preserve">TOTAL SUPERINTENDENTS' OFFICE GF    </t>
  </si>
  <si>
    <t xml:space="preserve">0011076 ST &amp; FED RELTNS(GRANT WRTR) GF     </t>
  </si>
  <si>
    <t>0011076</t>
  </si>
  <si>
    <t>TOTAL ST &amp; FED RELTNS(GRANT WRTR) GF</t>
  </si>
  <si>
    <t xml:space="preserve">0011080 FINANCE OFFICER'S OFFICE GF        </t>
  </si>
  <si>
    <t>0011080</t>
  </si>
  <si>
    <t>KTRS though</t>
  </si>
  <si>
    <t>MUNIS CLOUD</t>
  </si>
  <si>
    <t>0523</t>
  </si>
  <si>
    <t>FIDELITY BOND</t>
  </si>
  <si>
    <t xml:space="preserve">TOTAL FINANCE OFFICER'S OFFICE GF   </t>
  </si>
  <si>
    <t xml:space="preserve">0011081 PAYROLL OFFICE GF                  </t>
  </si>
  <si>
    <t>0011081</t>
  </si>
  <si>
    <t xml:space="preserve">EQUIPMENT REPAIR &amp; MAINT                                    </t>
  </si>
  <si>
    <t>PSST e-stub, Frontline electronic timekeeping is part of this</t>
  </si>
  <si>
    <t xml:space="preserve">TOTAL PAYROLL OFFICE GF             </t>
  </si>
  <si>
    <t xml:space="preserve">0011082 ACCOUNTING OFFICE GF               </t>
  </si>
  <si>
    <t>0011082</t>
  </si>
  <si>
    <t>TECH REPS</t>
  </si>
  <si>
    <t>EQUIP R&amp;M</t>
  </si>
  <si>
    <t xml:space="preserve">POSTAGE &amp; PO BOX RENT                                       </t>
  </si>
  <si>
    <t xml:space="preserve">Postage meter for central office for district wide  </t>
  </si>
  <si>
    <t xml:space="preserve">TRAVEL                                </t>
  </si>
  <si>
    <t>FD NI NFS</t>
  </si>
  <si>
    <t xml:space="preserve">TOTAL ACCOUNTING OFFICE GF          </t>
  </si>
  <si>
    <t xml:space="preserve">0011084 PURCHASING OFFICER'S OFFICE GF     </t>
  </si>
  <si>
    <t>0011084</t>
  </si>
  <si>
    <t xml:space="preserve">NEWSPAPER ADVERTISING                                       </t>
  </si>
  <si>
    <t xml:space="preserve">TRAVEL                               </t>
  </si>
  <si>
    <t xml:space="preserve">Eschoolmall </t>
  </si>
  <si>
    <t>DUES &amp; FEES</t>
  </si>
  <si>
    <t>TOTAL PURCHASING OFFICER'S OFFICE GF</t>
  </si>
  <si>
    <t xml:space="preserve">0011087 BUILDING OPERATIONS &amp; MAINT GF     </t>
  </si>
  <si>
    <t>0011087</t>
  </si>
  <si>
    <t xml:space="preserve">PEST CONTROL SERVICES                                       </t>
  </si>
  <si>
    <t>BUILDING REPAIR &amp; MAINT</t>
  </si>
  <si>
    <t>0441</t>
  </si>
  <si>
    <t xml:space="preserve">LAND &amp; BUILDING RENT                                        </t>
  </si>
  <si>
    <t>Parking Lot Fees $9,600</t>
  </si>
  <si>
    <t>0442</t>
  </si>
  <si>
    <t xml:space="preserve">EQUIPMENT &amp; VEHICLE RENT                                    </t>
  </si>
  <si>
    <t>0698</t>
  </si>
  <si>
    <t>LAWN/LAND</t>
  </si>
  <si>
    <t xml:space="preserve">UNIFORMS                                                    </t>
  </si>
  <si>
    <t>TOTAL BUILDING OPERATIONS &amp; MAINT GF</t>
  </si>
  <si>
    <t xml:space="preserve">0011088 GROUNDS MAINTENANCE GF             </t>
  </si>
  <si>
    <t>0011088</t>
  </si>
  <si>
    <t xml:space="preserve">SANITATION SERVICE                                          </t>
  </si>
  <si>
    <t xml:space="preserve">TOTAL GROUNDS MAINTENANCE GF        </t>
  </si>
  <si>
    <t xml:space="preserve">0011089 SECURITY OPERATIONS       </t>
  </si>
  <si>
    <t>0011089</t>
  </si>
  <si>
    <t xml:space="preserve">TOTAL SAFTEY &amp; SECURITY OPERATIONS  </t>
  </si>
  <si>
    <t xml:space="preserve">0011098 INFORMATION SERVICES GF            </t>
  </si>
  <si>
    <t>0011098</t>
  </si>
  <si>
    <t>2/12 moved whole budget to</t>
  </si>
  <si>
    <t>org 0011229 community relations.</t>
  </si>
  <si>
    <t>No such org 0011098 in COA MUNIS.</t>
  </si>
  <si>
    <t>COPIER RENTAL</t>
  </si>
  <si>
    <t>TRAVEL - IN DISTRICT</t>
  </si>
  <si>
    <t xml:space="preserve">TRAVEL - OUT OF DISTRICT                                        </t>
  </si>
  <si>
    <t xml:space="preserve">TOTAL INFORMATION SERVICES GF       </t>
  </si>
  <si>
    <t xml:space="preserve">0011099 PERSONNEL SERVICES GF              </t>
  </si>
  <si>
    <t>0011099</t>
  </si>
  <si>
    <t>OTHER PROFESSIONAL CONSULTANT</t>
  </si>
  <si>
    <t>OTHER TECHNICAL SERVICES</t>
  </si>
  <si>
    <t>EQUIP R &amp; M</t>
  </si>
  <si>
    <t xml:space="preserve">TRAVEL                          </t>
  </si>
  <si>
    <t xml:space="preserve">TECH-RELATED HARDWARE                                       </t>
  </si>
  <si>
    <t>TECH RELATED SOFTWARE</t>
  </si>
  <si>
    <t>OTHER MISCELLANEOUS EXPENSES</t>
  </si>
  <si>
    <t xml:space="preserve">TOTAL PERSONNEL SERVICES GF         </t>
  </si>
  <si>
    <t xml:space="preserve">0011100 COMPUTER/NETWORK SERVICES GF       </t>
  </si>
  <si>
    <t>0011100</t>
  </si>
  <si>
    <t>Includes J. S. at $25,000</t>
  </si>
  <si>
    <t>Technology building coor stipends-some could be classified</t>
  </si>
  <si>
    <t>COPIER CLICKS</t>
  </si>
  <si>
    <t>0534</t>
  </si>
  <si>
    <t>CELL PHONE</t>
  </si>
  <si>
    <t>District landlines</t>
  </si>
  <si>
    <t>TECHNOLOGY RELATED SUPPLIES</t>
  </si>
  <si>
    <t>VEHICLE</t>
  </si>
  <si>
    <t xml:space="preserve">TECH SOFTWARE                                               </t>
  </si>
  <si>
    <t>INSTRUCTIONAL FIELD TRIPS</t>
  </si>
  <si>
    <t xml:space="preserve">TOTAL COMPUTER/NETWORK SERVICES GF  </t>
  </si>
  <si>
    <t xml:space="preserve">0011101 FOOD SERVICES GF                   </t>
  </si>
  <si>
    <t>0011101</t>
  </si>
  <si>
    <t>BUILDING REPAIR</t>
  </si>
  <si>
    <t>0492</t>
  </si>
  <si>
    <t>ASBESTOS REMOVAL</t>
  </si>
  <si>
    <t xml:space="preserve">TOTAL FOOD SERVICES GF              </t>
  </si>
  <si>
    <t xml:space="preserve">0011105 MEDICAID BILLING OFFICE            </t>
  </si>
  <si>
    <t>0011105</t>
  </si>
  <si>
    <t xml:space="preserve">TOTAL MEDICAID BILLING OFFICE       </t>
  </si>
  <si>
    <t xml:space="preserve">0011123 SPECIAL ED COORDINATOR GF          </t>
  </si>
  <si>
    <t>0011123</t>
  </si>
  <si>
    <t>TRAVEL - OUT OF DISTRICT</t>
  </si>
  <si>
    <t>GENERAL SUPPLIES</t>
  </si>
  <si>
    <t xml:space="preserve">TOTAL SPECIAL ED COORDINATOR GF     </t>
  </si>
  <si>
    <t>0011229 COMMUNITY RELATIONS</t>
  </si>
  <si>
    <t>0011229</t>
  </si>
  <si>
    <t>S.W. stipend</t>
  </si>
  <si>
    <t>$6,000 for webmaster</t>
  </si>
  <si>
    <t>FICA</t>
  </si>
  <si>
    <t>CERS EMPLOYER CONTRIBUTION</t>
  </si>
  <si>
    <t>PROFESSIONAL CONSULTANT</t>
  </si>
  <si>
    <t>OTHER TECHNOLOGY</t>
  </si>
  <si>
    <t>TOTAL COMMUNITY RELATIONS</t>
  </si>
  <si>
    <t xml:space="preserve">0011608 DIVERSITY INSTRUCTIONAL SERV.      </t>
  </si>
  <si>
    <t>0011608</t>
  </si>
  <si>
    <t>No such org 0011608 in COA MUNIS.</t>
  </si>
  <si>
    <t xml:space="preserve">TOTAL DIVERSITY INSTRUCTIONAL SERV. </t>
  </si>
  <si>
    <t xml:space="preserve">0011617 PUBLIC INFORMATION                 </t>
  </si>
  <si>
    <t>0011617</t>
  </si>
  <si>
    <t xml:space="preserve">EDUCATION CONSULTANT                                        </t>
  </si>
  <si>
    <t xml:space="preserve">TOTAL PUBLIC INFORMATION            </t>
  </si>
  <si>
    <t xml:space="preserve">0101006 JEB PRESCH SPECIAL INSTR G.F       </t>
  </si>
  <si>
    <t>0101006</t>
  </si>
  <si>
    <t>COMPUTERS &amp; RELATED EQUIP</t>
  </si>
  <si>
    <t xml:space="preserve">TOTAL JEB PRESCH SPECIAL INSTR G.F  </t>
  </si>
  <si>
    <t>BEHAVIOR SUPPORT</t>
  </si>
  <si>
    <t>0011187</t>
  </si>
  <si>
    <t>TOTAL BEHAVIOR SUPPORT</t>
  </si>
  <si>
    <t>EQUITY &amp; DIVERSITY</t>
  </si>
  <si>
    <t>0011804</t>
  </si>
  <si>
    <t>TOTAL EQUITY &amp; DIVERSITY</t>
  </si>
  <si>
    <t>SPEECH PATHOLOGY</t>
  </si>
  <si>
    <t>0101043</t>
  </si>
  <si>
    <t xml:space="preserve">KTRS though </t>
  </si>
  <si>
    <t xml:space="preserve">0101077 J.B. PRINCIPALS' OFFICE GF         </t>
  </si>
  <si>
    <t>0101077</t>
  </si>
  <si>
    <t xml:space="preserve">TOTAL J.B. PRINCIPALS' OFFICE GF    </t>
  </si>
  <si>
    <t>0101077 PRINCIPAL</t>
  </si>
  <si>
    <t xml:space="preserve">0101087 J.B. ELEM BUILD OP &amp; MAINT GF      </t>
  </si>
  <si>
    <t>0101087</t>
  </si>
  <si>
    <t>EQUIPMENT RENTAL</t>
  </si>
  <si>
    <t xml:space="preserve">TOTAL J.B. ELEM BUILD OP &amp; MAINT GF </t>
  </si>
  <si>
    <t xml:space="preserve">0101088 JEBEC GROUNDS MAINTENANCE GF       </t>
  </si>
  <si>
    <t>0101088</t>
  </si>
  <si>
    <t xml:space="preserve">TOTAL JEBEC GROUNDS MAINTENANCE GF  </t>
  </si>
  <si>
    <t xml:space="preserve">0101089 JEBEC SECURITY OPERATIONS GF       </t>
  </si>
  <si>
    <t>0101089</t>
  </si>
  <si>
    <t xml:space="preserve">TOTAL JEBEC SECURITY OPERATIONS GF  </t>
  </si>
  <si>
    <t>0101118</t>
  </si>
  <si>
    <t>BOARD PAID JEBEC</t>
  </si>
  <si>
    <t>0101918</t>
  </si>
  <si>
    <t>0131M</t>
  </si>
  <si>
    <t>campus monitors</t>
  </si>
  <si>
    <t>TOTAL BOARD PAID JEBEC</t>
  </si>
  <si>
    <t xml:space="preserve">0101119 BIGGS PSYCHOLOGICAL SERVI      </t>
  </si>
  <si>
    <t>0101119</t>
  </si>
  <si>
    <t xml:space="preserve">0101918 BIGGS BD PAID (SECTION 7)   </t>
  </si>
  <si>
    <t>0101977 PRINCIPAL</t>
  </si>
  <si>
    <t>0101977</t>
  </si>
  <si>
    <t xml:space="preserve">0111028 ADULT HIGH SCHOOL G.F.             </t>
  </si>
  <si>
    <t>0111028</t>
  </si>
  <si>
    <t xml:space="preserve">TRAVEL                              </t>
  </si>
  <si>
    <t xml:space="preserve">TEXTBOOKS                                                   </t>
  </si>
  <si>
    <t xml:space="preserve">INSTRUCTIONAL EQUIPMENT                                     </t>
  </si>
  <si>
    <t xml:space="preserve">TOTAL ADULT HIGH SCHOOL G.F.        </t>
  </si>
  <si>
    <t xml:space="preserve">0111087 ADULT HIGH SCHOOL BLDG OPER        </t>
  </si>
  <si>
    <t>0111087</t>
  </si>
  <si>
    <t xml:space="preserve">TOTAL ADULT HIGH SCHOOL BLDG OPER   </t>
  </si>
  <si>
    <t>We still own building - will have some utility charges.</t>
  </si>
  <si>
    <t xml:space="preserve">0111088 ADULT H.S. MAINTENANCE             </t>
  </si>
  <si>
    <t>0111088</t>
  </si>
  <si>
    <t>no utilities to pay</t>
  </si>
  <si>
    <t xml:space="preserve">TOTAL ADULT H.S. MAINTENANCE        </t>
  </si>
  <si>
    <t xml:space="preserve">0111089 ADULT H.S. SECURITY/SAFETY         </t>
  </si>
  <si>
    <t>0111089</t>
  </si>
  <si>
    <t xml:space="preserve">TOTAL ADULT H.S. SECURITY/SAFETY    </t>
  </si>
  <si>
    <t xml:space="preserve">0131028 HOLMES ADULT HIGH SCHOOL   </t>
  </si>
  <si>
    <t>0131028</t>
  </si>
  <si>
    <t>TOTAL HOLMES ADULT HIGH SCHOOL</t>
  </si>
  <si>
    <t xml:space="preserve">0131029 HOLMES ALT. SCHOOL                 </t>
  </si>
  <si>
    <t>0131029</t>
  </si>
  <si>
    <t xml:space="preserve">TOTAL HOLMES ALT. SCHOOL            </t>
  </si>
  <si>
    <t xml:space="preserve">0131030 HOLMES ALT. SCHOOL  SOCIAL WORKER              </t>
  </si>
  <si>
    <t>0131030</t>
  </si>
  <si>
    <t>TOTAL HOLMES ALT SCHOOL SOCIAL WORKER</t>
  </si>
  <si>
    <t xml:space="preserve">0131031 HOLMES ALT. SCHOOL COUNSELOR    </t>
  </si>
  <si>
    <t>0131031</t>
  </si>
  <si>
    <t>TOTAL HOLMES ALT SCHOOL  COUNSELOR</t>
  </si>
  <si>
    <t xml:space="preserve">0131037 HOLMES ALT HEALTH SERV             </t>
  </si>
  <si>
    <t>0131037</t>
  </si>
  <si>
    <t xml:space="preserve">TOTAL HOLMES ALT HEALTH SERV        </t>
  </si>
  <si>
    <t xml:space="preserve">0131059 HOLMES ALT. LIBRARY G.F.           </t>
  </si>
  <si>
    <t>0131059</t>
  </si>
  <si>
    <t>0641</t>
  </si>
  <si>
    <t xml:space="preserve">LIBRARY BOOKS                                               </t>
  </si>
  <si>
    <t xml:space="preserve">SUPPLEMENTAL CURRICULUM                                     </t>
  </si>
  <si>
    <t xml:space="preserve">TOTAL HOLMES ALT. LIBRARY G.F.      </t>
  </si>
  <si>
    <t xml:space="preserve">0131077 HOLMES ALT DIRECTOR                </t>
  </si>
  <si>
    <t>0131077</t>
  </si>
  <si>
    <t xml:space="preserve">TRAVEL                             </t>
  </si>
  <si>
    <t xml:space="preserve">TOTAL HOLMES ALT DIRECTOR           </t>
  </si>
  <si>
    <t xml:space="preserve">0131087 HOLMES ALT. BUILD/MAINT            </t>
  </si>
  <si>
    <t>0131087</t>
  </si>
  <si>
    <t>BLDG REPR</t>
  </si>
  <si>
    <t xml:space="preserve">TOTAL HOLMES ALT. BUILD/MAINT       </t>
  </si>
  <si>
    <t>0131089 SECURITY HOLMES ALTERNATIVE</t>
  </si>
  <si>
    <t>0131089</t>
  </si>
  <si>
    <t>TOTAL SECURITY HOLMES ALTERNATIVE</t>
  </si>
  <si>
    <t xml:space="preserve">0131118 HOLMES ALT. REG INSTR.             </t>
  </si>
  <si>
    <t>0131118</t>
  </si>
  <si>
    <t>NATIONAL BOARD</t>
  </si>
  <si>
    <t>Children's Home lease for FY24</t>
  </si>
  <si>
    <t xml:space="preserve">INSTRUCTIONAL FIELD TRIPS                                   </t>
  </si>
  <si>
    <t xml:space="preserve">TOTAL HOLMES ALT. REG INSTR.        </t>
  </si>
  <si>
    <t xml:space="preserve">0131119 HOLMES ALT PSYCHOLOGICAL SERVI      </t>
  </si>
  <si>
    <t>0131119</t>
  </si>
  <si>
    <t xml:space="preserve">TOTAL HOLMES ALT PSYCHOLOGICAL SERVI </t>
  </si>
  <si>
    <t xml:space="preserve">0131121 HOLMES ALT SPEC. INSTR.            </t>
  </si>
  <si>
    <t>0131121</t>
  </si>
  <si>
    <t xml:space="preserve">TOTAL HOLMES ALT SPEC. INSTR.       </t>
  </si>
  <si>
    <t xml:space="preserve">0131913 ADMINISTRATIVE TECHNOLOGY          </t>
  </si>
  <si>
    <t>0131913</t>
  </si>
  <si>
    <t>0432A</t>
  </si>
  <si>
    <t xml:space="preserve">TECHNOLOGY REPAIR &amp; MAINT                                  </t>
  </si>
  <si>
    <t xml:space="preserve">TOTAL ADMINISTRATIVE TECHNOLOGY     </t>
  </si>
  <si>
    <t>0131704 COPIERS</t>
  </si>
  <si>
    <t>0131704</t>
  </si>
  <si>
    <t>TOTAL HOLMES ALT SPEC. INSTR. COPIERS</t>
  </si>
  <si>
    <t xml:space="preserve">0131918 HOLMES ALT. INSTR BD PAID G.F      </t>
  </si>
  <si>
    <t>0131918</t>
  </si>
  <si>
    <t>CLASSIFIED OVERTIME</t>
  </si>
  <si>
    <t>CERTIFIED STIPENDS</t>
  </si>
  <si>
    <t>CLASSIFIED STIPENDS</t>
  </si>
  <si>
    <t>EQUIPMENT</t>
  </si>
  <si>
    <t xml:space="preserve">TOTAL HOLMES ALT. INSTR BD PAID G.F </t>
  </si>
  <si>
    <t xml:space="preserve">0131977 HOLMES ALT. PRIN OFFICE BD PAID      </t>
  </si>
  <si>
    <t>0131977</t>
  </si>
  <si>
    <t xml:space="preserve">TOTAL HOLMES ALT PRIN OFFICE BD PAID </t>
  </si>
  <si>
    <t>0131987</t>
  </si>
  <si>
    <t>0439</t>
  </si>
  <si>
    <t>OTHER REPAIRS &amp; MAINTENANCE</t>
  </si>
  <si>
    <t>ELECTRICITY</t>
  </si>
  <si>
    <t xml:space="preserve">TOTAL HOLMES ALT. MAINT. BD. PD     </t>
  </si>
  <si>
    <t xml:space="preserve">0131988 HOLMES ALT BD PAID GROUND MAINT.      </t>
  </si>
  <si>
    <t>0131988</t>
  </si>
  <si>
    <t xml:space="preserve">TOTAL HOLMES ALT BD PAID GROUND MAINT. </t>
  </si>
  <si>
    <t xml:space="preserve">0161987 THOM. EDISON BLDG MAINT BD PD      </t>
  </si>
  <si>
    <t>0161987</t>
  </si>
  <si>
    <t>Building sold in '11</t>
  </si>
  <si>
    <t>WATER/SEWAGE</t>
  </si>
  <si>
    <t>PEST CONTROL SERVICES</t>
  </si>
  <si>
    <t>NATURAL GAS</t>
  </si>
  <si>
    <t xml:space="preserve">TOTAL THOM. EDISON BLDG MAINT BD PD </t>
  </si>
  <si>
    <t xml:space="preserve">0161988 THOMAS EDISON BD PAID GROUND MAINT.      </t>
  </si>
  <si>
    <t>0161988</t>
  </si>
  <si>
    <t xml:space="preserve">TOTAL THOMAS EDISON BD PAID GROUND MAINT. </t>
  </si>
  <si>
    <t xml:space="preserve">0171019 HOLMES MIDDLE FIELD TRIPS          </t>
  </si>
  <si>
    <t>0171019</t>
  </si>
  <si>
    <t xml:space="preserve">TOTAL HOLMES MIDDLE FIELD TRIPS     </t>
  </si>
  <si>
    <t xml:space="preserve">0171025 HOLMES MS  ATHLETIC INSTR.G.F.     </t>
  </si>
  <si>
    <t>0171025</t>
  </si>
  <si>
    <t>TOTAL HOLMES MS  ATHLETIC INSTR.G.F.</t>
  </si>
  <si>
    <t xml:space="preserve">0171031 HOLMES MIDDLE GUIDANCE             </t>
  </si>
  <si>
    <t>0171031</t>
  </si>
  <si>
    <t xml:space="preserve">AWARDS                                                      </t>
  </si>
  <si>
    <t>0892</t>
  </si>
  <si>
    <t xml:space="preserve">OPEN HOUSE/PARENT MTGS                                      </t>
  </si>
  <si>
    <t xml:space="preserve">TOTAL HOLMES MIDDLE GUIDANCE        </t>
  </si>
  <si>
    <t xml:space="preserve">0171037 HOLMES MS HEALTH SERVICES GF          </t>
  </si>
  <si>
    <t>0171037</t>
  </si>
  <si>
    <t>TOTAL HOLMES MS HEALTH SERVICES GF</t>
  </si>
  <si>
    <t xml:space="preserve">0171043 HOLMES MS  SPEECH PATHOLOGY        </t>
  </si>
  <si>
    <t>0171043</t>
  </si>
  <si>
    <t xml:space="preserve">TOTAL HOLMES MS  SPEECH PATHOLOGY   </t>
  </si>
  <si>
    <t xml:space="preserve">0171059 HOLMES MIDDLE LIBRARY G.F.         </t>
  </si>
  <si>
    <t>0171059</t>
  </si>
  <si>
    <t xml:space="preserve">REFERENCE MATERIALS                                         </t>
  </si>
  <si>
    <t xml:space="preserve">TOTAL HOLMES MIDDLE LIBRARY G.F.    </t>
  </si>
  <si>
    <t xml:space="preserve">0171077 HOLMES MS PRINCIPALS OFFICE        </t>
  </si>
  <si>
    <t>0171077</t>
  </si>
  <si>
    <t>MISC LOCAL PURCHASE</t>
  </si>
  <si>
    <t xml:space="preserve">TOTAL HOLMES MS PRINCIPALS OFFICE   </t>
  </si>
  <si>
    <t xml:space="preserve">0171087 HOLMES MS BUILD OP &amp; MAINT         </t>
  </si>
  <si>
    <t>0171087</t>
  </si>
  <si>
    <t xml:space="preserve">TOTAL HOLMES MS BUILD OP &amp; MAINT    </t>
  </si>
  <si>
    <t xml:space="preserve">0171089 SECURITY OPERATIONS                </t>
  </si>
  <si>
    <t>0171089</t>
  </si>
  <si>
    <t>Alarm services</t>
  </si>
  <si>
    <t xml:space="preserve">TOTAL SECURITY OPERATIONS           </t>
  </si>
  <si>
    <t xml:space="preserve">0171118 HOLMES MS ELEM INSTR. G.F.         </t>
  </si>
  <si>
    <t>0171118</t>
  </si>
  <si>
    <t>Have to add money for critical shortage teacher - district pays 25.14% compared to 3%</t>
  </si>
  <si>
    <t xml:space="preserve">SBDM allocation </t>
  </si>
  <si>
    <t>0610BD</t>
  </si>
  <si>
    <t xml:space="preserve">GENERAL SUPPLIES - BAND                                   </t>
  </si>
  <si>
    <t>0734T</t>
  </si>
  <si>
    <t xml:space="preserve">TOTAL HOLMES MS ELEM INSTR. G.F.    </t>
  </si>
  <si>
    <t xml:space="preserve">0171119 HOLMES MS PSYCHOLOGICAL SERVI      </t>
  </si>
  <si>
    <t>0171119</t>
  </si>
  <si>
    <t xml:space="preserve">TOTAL HOLMES MS PSYCHOLOGICAL SERVI </t>
  </si>
  <si>
    <t xml:space="preserve">0171121 HOLMES MS. SPECIAL INSTR. G.F.     </t>
  </si>
  <si>
    <t>0171121</t>
  </si>
  <si>
    <t>7/11/23 plus 14K extra for critical shortage teacher - district has to pay retirement</t>
  </si>
  <si>
    <t>TOTAL HOLMES MS. SPECIAL INSTR. G.F.</t>
  </si>
  <si>
    <t>0171124 HOLMES MS. ELL</t>
  </si>
  <si>
    <t>0171124</t>
  </si>
  <si>
    <t>TOTAL HOlMES MS. ELL</t>
  </si>
  <si>
    <t xml:space="preserve">0171148 HOLMES MS SCHOOL COUNCIL           </t>
  </si>
  <si>
    <t>0171148</t>
  </si>
  <si>
    <t xml:space="preserve">TOTAL HOLMES MS SCHOOL COUNCIL      </t>
  </si>
  <si>
    <t xml:space="preserve">0171918 HOLMES MS REG INSTR. BD PAID       </t>
  </si>
  <si>
    <t>0171918</t>
  </si>
  <si>
    <t>Campus monitors</t>
  </si>
  <si>
    <t>Campus monitors - could be to 0113M depending on person - 25 hours per A. Garrison</t>
  </si>
  <si>
    <t>0338BD</t>
  </si>
  <si>
    <t>0433BD</t>
  </si>
  <si>
    <t>0810BD</t>
  </si>
  <si>
    <t>DUES, FEES</t>
  </si>
  <si>
    <t>0893BD</t>
  </si>
  <si>
    <t>UNIFORMS - BAND</t>
  </si>
  <si>
    <t>0894BD</t>
  </si>
  <si>
    <t>INSTRUCTIONAL FIELD TRIPS -BAND</t>
  </si>
  <si>
    <t xml:space="preserve">TOTAL HOLMES MS REG INSTR. BD PAID  </t>
  </si>
  <si>
    <t xml:space="preserve">0171921 HOLMES MS SPEC ED BD PAID          </t>
  </si>
  <si>
    <t>0171921</t>
  </si>
  <si>
    <t>0617</t>
  </si>
  <si>
    <t>FD I NFS</t>
  </si>
  <si>
    <t xml:space="preserve">TOTAL HOLMES MS SPEC ED BD PAID     </t>
  </si>
  <si>
    <t xml:space="preserve">0171925 HOLMES MS ATHLETIC BD PAID         </t>
  </si>
  <si>
    <t>0171925</t>
  </si>
  <si>
    <t xml:space="preserve">TOTAL HOLMES MS ATHLETIC BD PAID    </t>
  </si>
  <si>
    <t xml:space="preserve">0171931 HOLMES MS GUIDANCE BD PD           </t>
  </si>
  <si>
    <t>0171931</t>
  </si>
  <si>
    <t xml:space="preserve">TOTAL HOLMES MS GUIDANCE BD PD      </t>
  </si>
  <si>
    <t xml:space="preserve">0171959 HOLMES MS LIBRARY BD PAID GF        </t>
  </si>
  <si>
    <t>0171959</t>
  </si>
  <si>
    <t xml:space="preserve">TOTAL HOLMES MSLIBRARY BD PAID GF   </t>
  </si>
  <si>
    <t xml:space="preserve">0171977 HOLMES MS PRIN OFFICE BD PAID      </t>
  </si>
  <si>
    <t>0171977</t>
  </si>
  <si>
    <t xml:space="preserve">TOTAL HOLMES MS PRIN OFFICE BD PAID </t>
  </si>
  <si>
    <t xml:space="preserve">0171987 HOLMES MS BDDG. MAINT BD PAID      </t>
  </si>
  <si>
    <t>HHS &amp; HMS come on one bill-budgeted all to HHS</t>
  </si>
  <si>
    <t>0171987</t>
  </si>
  <si>
    <t>REPAIRS &amp; MAINT OTHER</t>
  </si>
  <si>
    <t>0431</t>
  </si>
  <si>
    <t xml:space="preserve">NON-TECH-RELATED REPRS &amp; MAINT                              </t>
  </si>
  <si>
    <t>EQUIP RENT</t>
  </si>
  <si>
    <t>LAND &amp; IMPROVEMENTS</t>
  </si>
  <si>
    <t>SALARY WITH FRINGES</t>
  </si>
  <si>
    <t xml:space="preserve">TOTAL HOLMES MS BDDG. MAINT BD PAID </t>
  </si>
  <si>
    <t xml:space="preserve">0171988 HOLMES MS GROUNDS MAINT BD PD      </t>
  </si>
  <si>
    <t>0171988</t>
  </si>
  <si>
    <t xml:space="preserve">TOTAL HOLMES MS GROUNDS MAINT BD PD </t>
  </si>
  <si>
    <t>0191003 GATEWAY - DUAL CREDIT PROGRAMS  &amp; OTHER PROGRAMS TOO PER GREIN 9/12 (NKU, BLUEGRASS, GATEWAY)</t>
  </si>
  <si>
    <t>0191003</t>
  </si>
  <si>
    <t>Gateway staffer to be advisor for HHS students in 3 dual credit programs</t>
  </si>
  <si>
    <t>between Gateway and Holmes.</t>
  </si>
  <si>
    <t>TOTAL GATEWAY - DUAL CREDIT PROGRAMS</t>
  </si>
  <si>
    <t xml:space="preserve">0191011 HOLMES H S  G&amp;T INSTR G.F. (THIS IS A/P PROGRAM ONLY)         </t>
  </si>
  <si>
    <t>0191011</t>
  </si>
  <si>
    <t xml:space="preserve">TOTAL HOLMES H S  G&amp;T INSTR G.F.    </t>
  </si>
  <si>
    <t xml:space="preserve">0191019 HOLMES HS  FIELD TRIPS             </t>
  </si>
  <si>
    <t>0191019</t>
  </si>
  <si>
    <t>0130AT</t>
  </si>
  <si>
    <t xml:space="preserve">CLASS SALARY ATHLETIC TRIP                                </t>
  </si>
  <si>
    <t>Bus drivers for athletics</t>
  </si>
  <si>
    <t>0130FT</t>
  </si>
  <si>
    <t>CLASS SALARY FIELD TRIP</t>
  </si>
  <si>
    <t>0140AT</t>
  </si>
  <si>
    <t>Athletics</t>
  </si>
  <si>
    <t>0894AT</t>
  </si>
  <si>
    <t xml:space="preserve">TOTAL HOLMES HS  FIELD TRIPS        </t>
  </si>
  <si>
    <t xml:space="preserve">0191029 ATTENDANACE SERVICES               </t>
  </si>
  <si>
    <t>0191029</t>
  </si>
  <si>
    <t xml:space="preserve">TOTAL ATTENDANACE SERVICES          </t>
  </si>
  <si>
    <t xml:space="preserve">0191031 HOLMES HS GUIDANCE CNSL GF         </t>
  </si>
  <si>
    <t>0191031</t>
  </si>
  <si>
    <t xml:space="preserve">TOTAL HOLMES HS GUIDANCE CNSL GF    </t>
  </si>
  <si>
    <t>0191037 HEALTH SERVICES</t>
  </si>
  <si>
    <t>0191037</t>
  </si>
  <si>
    <t>TOTAL HOLMES HS HEALTH SERVICES</t>
  </si>
  <si>
    <t xml:space="preserve">0191059 HOLMES HS  SCHOOL LIBRARY          </t>
  </si>
  <si>
    <t>0191059</t>
  </si>
  <si>
    <t xml:space="preserve">TOTAL HOLMES HS  SCHOOL LIBRARY     </t>
  </si>
  <si>
    <t xml:space="preserve">0191077 HOLMES HS  PRINCIPALS OFF          </t>
  </si>
  <si>
    <t>0191077</t>
  </si>
  <si>
    <t>Paying for co-op-no fringes during school year</t>
  </si>
  <si>
    <t>0339</t>
  </si>
  <si>
    <t>OTHER PRINTING</t>
  </si>
  <si>
    <t xml:space="preserve">TOTAL HOLMES HS  PRINCIPALS OFF     </t>
  </si>
  <si>
    <t xml:space="preserve">0191087 HOLMES HS  BLDG.OPERATIONS         </t>
  </si>
  <si>
    <t>0191087</t>
  </si>
  <si>
    <t>CLASSIFIED SUBS</t>
  </si>
  <si>
    <t xml:space="preserve">TOTAL HOLMES HS  BLDG.OPERATIONS    </t>
  </si>
  <si>
    <t xml:space="preserve">0191089 SECURITY OPERATIONS                </t>
  </si>
  <si>
    <t>0191089</t>
  </si>
  <si>
    <t xml:space="preserve">Alarm services </t>
  </si>
  <si>
    <t xml:space="preserve">0191118 HOLMES HS  REGULAR INSTR           </t>
  </si>
  <si>
    <t>0191118</t>
  </si>
  <si>
    <t>0610T</t>
  </si>
  <si>
    <t>SUPPLIES-TECHNOLOGY</t>
  </si>
  <si>
    <t>EQUIPEMNT-TECHNOLOGY</t>
  </si>
  <si>
    <t xml:space="preserve">TOTAL HOLMES HS  REGULAR INSTR      </t>
  </si>
  <si>
    <t xml:space="preserve">0191119 HOLMES HS PSYCHOLOGICAL            </t>
  </si>
  <si>
    <t>0191119</t>
  </si>
  <si>
    <t xml:space="preserve">TOTAL HOLMES HS PSYCHOLOGICAL       </t>
  </si>
  <si>
    <t xml:space="preserve">0191121 HOLMES HS SPECIAL INSTR            </t>
  </si>
  <si>
    <t>0191121</t>
  </si>
  <si>
    <t xml:space="preserve">TOTAL HOLMES HS SPECIAL INSTR       </t>
  </si>
  <si>
    <t>01911124 HOLMES HIGH SCHOOL ELL</t>
  </si>
  <si>
    <t>0191124</t>
  </si>
  <si>
    <t>TOTAL HOLMES HIGH SCHOOL ELL</t>
  </si>
  <si>
    <t>0191719 CTSO CAREER &amp; TECHNICAL STUDENT ORGANIZATIONS</t>
  </si>
  <si>
    <t>0191719</t>
  </si>
  <si>
    <t>0338F</t>
  </si>
  <si>
    <t>0338S</t>
  </si>
  <si>
    <t>0580F</t>
  </si>
  <si>
    <t>0616S</t>
  </si>
  <si>
    <t>0647S</t>
  </si>
  <si>
    <t>0679F</t>
  </si>
  <si>
    <t>0810F</t>
  </si>
  <si>
    <t>0810S</t>
  </si>
  <si>
    <t>0893F</t>
  </si>
  <si>
    <t>0893S</t>
  </si>
  <si>
    <t>0894F</t>
  </si>
  <si>
    <t>0894S</t>
  </si>
  <si>
    <t>TOTAL SKILLS US - BD PAID</t>
  </si>
  <si>
    <t xml:space="preserve">0191148 HOLMES HS SCHOOL COUNCIL           </t>
  </si>
  <si>
    <t>0191148</t>
  </si>
  <si>
    <t xml:space="preserve">TOTAL HOLMES HS SCHOOL COUNCIL      </t>
  </si>
  <si>
    <t xml:space="preserve">0191918 HOLMES HS  HOLMES BD PAID          </t>
  </si>
  <si>
    <t>0191918</t>
  </si>
  <si>
    <t>0113S</t>
  </si>
  <si>
    <t>G. H.</t>
  </si>
  <si>
    <t xml:space="preserve">Campus monitors &amp; others </t>
  </si>
  <si>
    <t>Campus monitors - could be to 0113M depending on person - 25 hours per week per Mr. Garrison</t>
  </si>
  <si>
    <t>G. H. extra fringes</t>
  </si>
  <si>
    <t>0338C</t>
  </si>
  <si>
    <t>0349C</t>
  </si>
  <si>
    <t>Young Scholars Academy - 1st co-hort FY23 - 10 students</t>
  </si>
  <si>
    <t>0582C</t>
  </si>
  <si>
    <t>&amp; money for Ignite Institute</t>
  </si>
  <si>
    <t xml:space="preserve">SUPPLIES                  </t>
  </si>
  <si>
    <t>0610C</t>
  </si>
  <si>
    <t xml:space="preserve">SUPPLIES - CONSUMABLE CHAPMAN                              </t>
  </si>
  <si>
    <t>0616C</t>
  </si>
  <si>
    <t>SUPPLEMENTAL TEXTBOOKS</t>
  </si>
  <si>
    <t>0644C</t>
  </si>
  <si>
    <t>0734C</t>
  </si>
  <si>
    <t>0738C</t>
  </si>
  <si>
    <t>INSTRUCTIONAL EQUIPMENT</t>
  </si>
  <si>
    <t>Can't use per chart of accounts</t>
  </si>
  <si>
    <t>0739C</t>
  </si>
  <si>
    <t>OTHER INSTRUCTIONAL EQUIPMENT</t>
  </si>
  <si>
    <t xml:space="preserve">GRADUATION EXPENSES                                         </t>
  </si>
  <si>
    <t>0616TE</t>
  </si>
  <si>
    <t>0610TE</t>
  </si>
  <si>
    <t>0734TE</t>
  </si>
  <si>
    <t xml:space="preserve">TOTAL HOLMES HS  HOLMES BD PAID     </t>
  </si>
  <si>
    <t xml:space="preserve">0191921 HOLMES HS SPEC.ED BD PAID          </t>
  </si>
  <si>
    <t>0191921</t>
  </si>
  <si>
    <t>student workers</t>
  </si>
  <si>
    <t xml:space="preserve">TOTAL HOLMES HS SPEC.ED BD PAID     </t>
  </si>
  <si>
    <t xml:space="preserve">0191925 HOLMES HS ATHLETIC DEPT            </t>
  </si>
  <si>
    <t>0191925</t>
  </si>
  <si>
    <t>0349-ATHL</t>
  </si>
  <si>
    <t>ATHLETICS FOR TRAINER</t>
  </si>
  <si>
    <t>ATHLETICS ALL SPORTS ALL NON-PERS</t>
  </si>
  <si>
    <t>See detailed spreadsheets on how to enter the budget.  This will be done later - enter budget here for now.</t>
  </si>
  <si>
    <t>BASE</t>
  </si>
  <si>
    <t xml:space="preserve">REGISTRATION FEES                                       </t>
  </si>
  <si>
    <t>BASKB</t>
  </si>
  <si>
    <t xml:space="preserve">REGISTRATION FEES                                      </t>
  </si>
  <si>
    <t>BASKG</t>
  </si>
  <si>
    <t>CHEER</t>
  </si>
  <si>
    <t>CROSS</t>
  </si>
  <si>
    <t>DRILL</t>
  </si>
  <si>
    <t>SOCCB</t>
  </si>
  <si>
    <t>SOCCG</t>
  </si>
  <si>
    <t>SOFTF</t>
  </si>
  <si>
    <t>SWIM</t>
  </si>
  <si>
    <t>TOURN</t>
  </si>
  <si>
    <t>TRACK</t>
  </si>
  <si>
    <t>VOLLY</t>
  </si>
  <si>
    <t>WREST</t>
  </si>
  <si>
    <t xml:space="preserve">SECURITY SERVICES                                      </t>
  </si>
  <si>
    <t>FOOT</t>
  </si>
  <si>
    <t xml:space="preserve">SECURITY SERVICES                                       </t>
  </si>
  <si>
    <t>ATHL</t>
  </si>
  <si>
    <t xml:space="preserve">OTHER PROFESSIONAL SERVICES                             </t>
  </si>
  <si>
    <t xml:space="preserve">OTHER PROFESSIONAL SERVICES                            </t>
  </si>
  <si>
    <t xml:space="preserve">TELEPHONE                                               </t>
  </si>
  <si>
    <t>0539</t>
  </si>
  <si>
    <t xml:space="preserve">OTHER COMMUNICATIONS                                    </t>
  </si>
  <si>
    <t xml:space="preserve">TRAVEL -OUT OF DISTRICT                                 </t>
  </si>
  <si>
    <t xml:space="preserve">TRAVEL -OUT OF DISTRICT                                </t>
  </si>
  <si>
    <t>TENIS</t>
  </si>
  <si>
    <t xml:space="preserve">GENERAL SUPPLIES                                        </t>
  </si>
  <si>
    <t>BAND</t>
  </si>
  <si>
    <t xml:space="preserve">GENERAL SUPPLIES                                       </t>
  </si>
  <si>
    <t>MEDIC</t>
  </si>
  <si>
    <t xml:space="preserve">CONCESSION SALES                                       </t>
  </si>
  <si>
    <t>0673</t>
  </si>
  <si>
    <t xml:space="preserve">FEES/REGISTRATIONS (ACTIVITY)                          </t>
  </si>
  <si>
    <t xml:space="preserve">LAWN/LANDSCAPING SUPPLIES/SERV                          </t>
  </si>
  <si>
    <t>0731</t>
  </si>
  <si>
    <t xml:space="preserve">MACHINERY                                               </t>
  </si>
  <si>
    <t>0738</t>
  </si>
  <si>
    <t xml:space="preserve">INSTRUCTIONAL EQUIPMENT                                 </t>
  </si>
  <si>
    <t xml:space="preserve">INSTRUCTIONAL EQUIPMENT                                </t>
  </si>
  <si>
    <t xml:space="preserve">UNIFORMS                                               </t>
  </si>
  <si>
    <t xml:space="preserve">UNIFORMS                                                </t>
  </si>
  <si>
    <t>GOLF</t>
  </si>
  <si>
    <t xml:space="preserve">TOTAL HOLMES HS ATHLETIC DEPT       </t>
  </si>
  <si>
    <t xml:space="preserve">0191931 HOLMES HS GUIDANCE BD PD           </t>
  </si>
  <si>
    <t>0191931</t>
  </si>
  <si>
    <t xml:space="preserve">TOTAL HOLMES HS GUIDANCE BD PD      </t>
  </si>
  <si>
    <t xml:space="preserve">0191959 HOLMES HS LIBRARY BD PAID GF        </t>
  </si>
  <si>
    <t>0191959</t>
  </si>
  <si>
    <t xml:space="preserve">TOTAL HOLMES HS LIBRARY BD PAID GF   </t>
  </si>
  <si>
    <t xml:space="preserve">0191977 HOLMES HS PRINCIPALS OFF           </t>
  </si>
  <si>
    <t>0191977</t>
  </si>
  <si>
    <t xml:space="preserve">TOTAL HOLMES HS PRINCIPALS OFF      </t>
  </si>
  <si>
    <t xml:space="preserve">0191987 HOLMES HS  BLDG MAINT              </t>
  </si>
  <si>
    <t>0191987</t>
  </si>
  <si>
    <t>OTHER PROF</t>
  </si>
  <si>
    <t>0349M</t>
  </si>
  <si>
    <t>OTHER PROF-MEIKEN</t>
  </si>
  <si>
    <t>TECHNOLOGY REPAIRS</t>
  </si>
  <si>
    <t>0433M</t>
  </si>
  <si>
    <t xml:space="preserve">EQUIPMENT REPAIR &amp; MAINT-MEIKEN                            </t>
  </si>
  <si>
    <t>0434M</t>
  </si>
  <si>
    <t>BUILDING REPAIR &amp; MAINT-MEIKEN</t>
  </si>
  <si>
    <t>0442M</t>
  </si>
  <si>
    <t>EQUIP RENT-MEIKEN</t>
  </si>
  <si>
    <t>0449</t>
  </si>
  <si>
    <t>OTH RENTAL</t>
  </si>
  <si>
    <t>0491</t>
  </si>
  <si>
    <t>PAVING</t>
  </si>
  <si>
    <t>FENCING REPAIR</t>
  </si>
  <si>
    <t>0498M</t>
  </si>
  <si>
    <t>FENCING REPAIR-MEIKEN</t>
  </si>
  <si>
    <t>0610M</t>
  </si>
  <si>
    <t xml:space="preserve">GENERAL SUPPLIES-MEIKEN                                  </t>
  </si>
  <si>
    <t>0627</t>
  </si>
  <si>
    <t>DIESEL</t>
  </si>
  <si>
    <t>0698M</t>
  </si>
  <si>
    <t>LAWN/LAND-MEIKEN</t>
  </si>
  <si>
    <t>0710M</t>
  </si>
  <si>
    <t>LAND &amp; IMPROVEMENTS-MEIKEN</t>
  </si>
  <si>
    <t xml:space="preserve">VEHICLE  </t>
  </si>
  <si>
    <t xml:space="preserve">TOTAL HOLMES HS  BLDG MAINT         </t>
  </si>
  <si>
    <t xml:space="preserve">0191988 HOLMES HS  GROUNDS/MAINT           </t>
  </si>
  <si>
    <t>0191988</t>
  </si>
  <si>
    <t>0424</t>
  </si>
  <si>
    <t>CONTRACT GROUND SERVICES</t>
  </si>
  <si>
    <t xml:space="preserve">TOTAL HOLMES HS  GROUNDS/MAINT      </t>
  </si>
  <si>
    <t xml:space="preserve">110 GENERAL FUND REVENUE               </t>
  </si>
  <si>
    <t>See revenue projection spreadsheet for detailed documentation</t>
  </si>
  <si>
    <t>110</t>
  </si>
  <si>
    <t>0999C</t>
  </si>
  <si>
    <t xml:space="preserve">REVENUE - BEGINNING BALANCE                                     </t>
  </si>
  <si>
    <t>Projected ending balance from prior year (FY21) - FY22 everything allocated out to spend except contingency - contingency only</t>
  </si>
  <si>
    <t>FY23 ending balance from YEC</t>
  </si>
  <si>
    <t>Projected salary/fringes left over from FY23</t>
  </si>
  <si>
    <t>FY23 additional revenue over what was budgeted - rough estimate 3/13/23</t>
  </si>
  <si>
    <t>Extra 5% SEEK funding from FY23</t>
  </si>
  <si>
    <t>Extra SEEK funding due to over 4% increase in assessments per C. Ritter - will not get this each year - ask Alvin</t>
  </si>
  <si>
    <t>Had to reclose the year 9/5/23 - additional money when reconciling everything.</t>
  </si>
  <si>
    <t>0999A</t>
  </si>
  <si>
    <t>Encumbrances</t>
  </si>
  <si>
    <t>1111</t>
  </si>
  <si>
    <t xml:space="preserve">GENERAL REAL PROPERTY TAX                                       </t>
  </si>
  <si>
    <t>option 2 compass with nickel and roughly 4% using CFR and GF bond payment to building fund</t>
  </si>
  <si>
    <t>put in one acct for now and not 1113 or 1115</t>
  </si>
  <si>
    <t>1113</t>
  </si>
  <si>
    <t xml:space="preserve">PSC REAL PROPERTY TAX                                           </t>
  </si>
  <si>
    <t>1115</t>
  </si>
  <si>
    <t xml:space="preserve">DELINQUENT PROPERTY TAX                                         </t>
  </si>
  <si>
    <t>1117</t>
  </si>
  <si>
    <t xml:space="preserve">MOTOR VEHICLE TAX                                               </t>
  </si>
  <si>
    <t>8/23 adjusted past on 3 year trend</t>
  </si>
  <si>
    <t>1191</t>
  </si>
  <si>
    <t xml:space="preserve">OMITTED PROPERTY TAX                                            </t>
  </si>
  <si>
    <t>1280</t>
  </si>
  <si>
    <t xml:space="preserve">REVENUE IN LIEU OF TAXES                                        </t>
  </si>
  <si>
    <t>1340AH</t>
  </si>
  <si>
    <t xml:space="preserve">OTHER TUITION - ADULT HIGH                                    </t>
  </si>
  <si>
    <t>1442</t>
  </si>
  <si>
    <t xml:space="preserve">TRANSPORT FRM FISCAL COURT                                      </t>
  </si>
  <si>
    <t>1510</t>
  </si>
  <si>
    <t xml:space="preserve">INTEREST ON INVESTMENTS                                         </t>
  </si>
  <si>
    <t>1910</t>
  </si>
  <si>
    <t>RENT INCOME</t>
  </si>
  <si>
    <t xml:space="preserve">110 </t>
  </si>
  <si>
    <t>1951</t>
  </si>
  <si>
    <t>SERVICE TO KY LSD</t>
  </si>
  <si>
    <t>1980</t>
  </si>
  <si>
    <t>REFUND TO PRIOR YR EXPENDITURE</t>
  </si>
  <si>
    <t>1990</t>
  </si>
  <si>
    <t xml:space="preserve">MISCELLANEOUS REVENUE                                           </t>
  </si>
  <si>
    <t>1998</t>
  </si>
  <si>
    <t xml:space="preserve">CRIME CHECK/FINGERPRINTING                                      </t>
  </si>
  <si>
    <t>3111</t>
  </si>
  <si>
    <t xml:space="preserve">SEEK PROGRAM                                                    </t>
  </si>
  <si>
    <t>7/11/23 using info from KDE (Ritter) with 2/3 loss numbers included that district will get money from KDE - ONLY 95%</t>
  </si>
  <si>
    <t>3122</t>
  </si>
  <si>
    <t xml:space="preserve">VOCATIONAL TRANSPORTATION                                       </t>
  </si>
  <si>
    <t>3132</t>
  </si>
  <si>
    <t>SPEECH LANG PATH REIMB</t>
  </si>
  <si>
    <t>Speech supplements per state - rough estimate of reimbursement</t>
  </si>
  <si>
    <t>7/15/22 tried using 3131 and it won't pull into next year budget entry</t>
  </si>
  <si>
    <t>3800</t>
  </si>
  <si>
    <t xml:space="preserve">REVENUE IN LIEU OF STATE TAX                                    </t>
  </si>
  <si>
    <t>changed to 3200 for now.  Per KDE email use 3132 7/12/22.</t>
  </si>
  <si>
    <t>3900</t>
  </si>
  <si>
    <t>Used FY23 actuals 8/25/23.</t>
  </si>
  <si>
    <t>4100</t>
  </si>
  <si>
    <t xml:space="preserve">UNRESTRICTED DIRECT FEDERAL                                     </t>
  </si>
  <si>
    <t>4800</t>
  </si>
  <si>
    <t xml:space="preserve">UNIVERSAL SERVICE FUND| E-RATE                                  </t>
  </si>
  <si>
    <t>4810</t>
  </si>
  <si>
    <t xml:space="preserve">MEDICAID REIMBURSEMENT                                          </t>
  </si>
  <si>
    <t xml:space="preserve">8/23 adjusted  </t>
  </si>
  <si>
    <t>1997</t>
  </si>
  <si>
    <t>INDIRECT COSTS TRANSFER</t>
  </si>
  <si>
    <t xml:space="preserve"> FY24 estimate on what indirects we might get - ESSER money</t>
  </si>
  <si>
    <t>5220</t>
  </si>
  <si>
    <t>SEE ABOVE IN CONTINGENCY FOR RAISES.</t>
  </si>
  <si>
    <t>5210</t>
  </si>
  <si>
    <t>BFFT</t>
  </si>
  <si>
    <t>SALE OF BUILDINGS</t>
  </si>
  <si>
    <t>Doing CFR on buses?  Still determining 8/25/23.</t>
  </si>
  <si>
    <t>5341</t>
  </si>
  <si>
    <t xml:space="preserve">SALE OF EQUIPMENT ETC                                           </t>
  </si>
  <si>
    <t>5342</t>
  </si>
  <si>
    <t xml:space="preserve">LOSS COMP - EQUIPMENT ETC                                       </t>
  </si>
  <si>
    <t xml:space="preserve">TOTAL GENERAL FUND REVENUE          </t>
  </si>
  <si>
    <t xml:space="preserve">1101019 J.G. CARLISLE FIELD TRIPS          </t>
  </si>
  <si>
    <t>1101019</t>
  </si>
  <si>
    <t xml:space="preserve">TOTAL J.G. CARLISLE FIELD TRIPS     </t>
  </si>
  <si>
    <t xml:space="preserve">1101025 JGC ELEM ATHLETIC INSTR GF         </t>
  </si>
  <si>
    <t>1101025</t>
  </si>
  <si>
    <t xml:space="preserve">TOTAL JGC ELEM ATHLETIC INSTR GF    </t>
  </si>
  <si>
    <t xml:space="preserve">1101031 JGC ELEM GUIDANCE CNSL GF          </t>
  </si>
  <si>
    <t>1101031</t>
  </si>
  <si>
    <t xml:space="preserve">TOTAL JGC ELEM GUIDANCE CNSL GF     </t>
  </si>
  <si>
    <t>1101012 JGC KINDERGARTEN</t>
  </si>
  <si>
    <t>1101012</t>
  </si>
  <si>
    <t xml:space="preserve">1101031 JGC HS GUIDANCE CNSL GF         </t>
  </si>
  <si>
    <t xml:space="preserve">1101037 JGC ELEM HEALTH SERVICES GF          </t>
  </si>
  <si>
    <t>1101037</t>
  </si>
  <si>
    <t>TOTAL JGC ELEM HEALTH SERVICES GF</t>
  </si>
  <si>
    <t>1101043</t>
  </si>
  <si>
    <t>ktrs though</t>
  </si>
  <si>
    <t>1101059 JGC LIBRARY</t>
  </si>
  <si>
    <t>1101059</t>
  </si>
  <si>
    <t xml:space="preserve">1101059 JGC ELEM LIBRARY GF                </t>
  </si>
  <si>
    <t>0645</t>
  </si>
  <si>
    <t xml:space="preserve">AUDIOVISUAL MATERIALS                                       </t>
  </si>
  <si>
    <t xml:space="preserve">TOTAL JGC ELEM LIBRARY GF           </t>
  </si>
  <si>
    <t xml:space="preserve">1101077 JGC ELEM PRINCIPALS' OFFICE GF     </t>
  </si>
  <si>
    <t>1101077</t>
  </si>
  <si>
    <t>0120S</t>
  </si>
  <si>
    <t xml:space="preserve">FURNITURE &amp; FIXTURES                                        </t>
  </si>
  <si>
    <t>TOTAL JGC ELEM PRINCIPALS' OFFICE GF</t>
  </si>
  <si>
    <t xml:space="preserve">1101087 JGC ELEM BUILD OP &amp; MAINT GF       </t>
  </si>
  <si>
    <t>1101087</t>
  </si>
  <si>
    <t xml:space="preserve">TOTAL JGC ELEM BUILD OP &amp; MAINT GF  </t>
  </si>
  <si>
    <t xml:space="preserve">1101089 JGC SECURITY OPERATIONS GF         </t>
  </si>
  <si>
    <t>1101089</t>
  </si>
  <si>
    <t>0347BD</t>
  </si>
  <si>
    <t xml:space="preserve">SECURITY SERVICES                                         </t>
  </si>
  <si>
    <t xml:space="preserve">TOTAL JGC SECURITY OPERATIONS GF    </t>
  </si>
  <si>
    <t xml:space="preserve">1101118 JGC ELEM REG INSTR GF              </t>
  </si>
  <si>
    <t>1101118</t>
  </si>
  <si>
    <t xml:space="preserve">TOTAL JGC ELEM REG INSTR GF         </t>
  </si>
  <si>
    <t>1101119</t>
  </si>
  <si>
    <t xml:space="preserve">1101121 JGC ELEM SPECIAL INSTR GF          </t>
  </si>
  <si>
    <t>1101121</t>
  </si>
  <si>
    <t xml:space="preserve">TOTAL JGC ELEM SPECIAL INSTR GF     </t>
  </si>
  <si>
    <t xml:space="preserve">1101148 JGC SCHOOL COUNCIL GF              </t>
  </si>
  <si>
    <t>1101148</t>
  </si>
  <si>
    <t xml:space="preserve">TOTAL JGC SCHOOL COUNCIL GF         </t>
  </si>
  <si>
    <t>1101124 JGC ELL</t>
  </si>
  <si>
    <t>1101124</t>
  </si>
  <si>
    <t>TOTAL JGC ELL</t>
  </si>
  <si>
    <t>1101918</t>
  </si>
  <si>
    <t>Campus monitors - could be to 0113M depending on person</t>
  </si>
  <si>
    <t xml:space="preserve">TOTAL JGC REG INST BOARD PAID GF    </t>
  </si>
  <si>
    <t xml:space="preserve">1101921 JGC SPEC ED BOARD PAID GF          </t>
  </si>
  <si>
    <t>1101921</t>
  </si>
  <si>
    <t xml:space="preserve">TOTAL JGC SPEC ED BOARD PAID GF     </t>
  </si>
  <si>
    <t xml:space="preserve">1101925 JG CARLISLE ATHLETIC BD PD GF      </t>
  </si>
  <si>
    <t>1101925</t>
  </si>
  <si>
    <t xml:space="preserve">TOTAL JG CARLISLE ATHLETIC BD PD GF </t>
  </si>
  <si>
    <t xml:space="preserve">1101931 JGC GUIDANCE BD PAID GF      </t>
  </si>
  <si>
    <t>1101931</t>
  </si>
  <si>
    <t xml:space="preserve">TOTAL JGC GUIDANCE BD PAID GF </t>
  </si>
  <si>
    <t xml:space="preserve">1101977 JGC PRIN OFFIC BOARD PAID GF       </t>
  </si>
  <si>
    <t>1101977</t>
  </si>
  <si>
    <t xml:space="preserve">TOTAL JGC PRIN OFFIC BOARD PAID GF  </t>
  </si>
  <si>
    <t xml:space="preserve">1101987 JGC BLDG MAINT BOARD PAID GF       </t>
  </si>
  <si>
    <t>1101987</t>
  </si>
  <si>
    <t>FENCING REPAIRS</t>
  </si>
  <si>
    <t>LAND AND IMPROVEMENTS</t>
  </si>
  <si>
    <t xml:space="preserve">TOTAL JGC BLDG MAINT BOARD PAID GF  </t>
  </si>
  <si>
    <t xml:space="preserve">1101988 J.G. CARLISLE BD PAID GR MAINT     </t>
  </si>
  <si>
    <t>1101988</t>
  </si>
  <si>
    <t>TOTAL J.G. CARLISLE BD PAID GR MAINT</t>
  </si>
  <si>
    <t>1151012 LATONIA KINDERGARTEN</t>
  </si>
  <si>
    <t>1151012</t>
  </si>
  <si>
    <t xml:space="preserve">1151019 LATONIA ELEM FIELD TRIPS           </t>
  </si>
  <si>
    <t>1151019</t>
  </si>
  <si>
    <t xml:space="preserve">TOTAL LATONIA ELEM FIELD TRIPS      </t>
  </si>
  <si>
    <t xml:space="preserve">1151025 LAT ELEM ATHLETIC INSTR GF         </t>
  </si>
  <si>
    <t>1151025</t>
  </si>
  <si>
    <t xml:space="preserve">TOTAL LAT ELEM ATHLETIC INSTR GF    </t>
  </si>
  <si>
    <t xml:space="preserve">1151031 LAT ELEM GUIDANCE CNSL GF          </t>
  </si>
  <si>
    <t>1151031</t>
  </si>
  <si>
    <t xml:space="preserve">TOTAL LAT ELEM GUIDANCE CNSL GF     </t>
  </si>
  <si>
    <t>1151037 LATONIA HEALTH SERVICES</t>
  </si>
  <si>
    <t>1151037</t>
  </si>
  <si>
    <t>With CERS</t>
  </si>
  <si>
    <t>With KTRS</t>
  </si>
  <si>
    <t>TOTAL LATONIA HEALTH SERVICES</t>
  </si>
  <si>
    <t xml:space="preserve">1151043 LAT ELEM SPEECH PATHOLOGY GF       </t>
  </si>
  <si>
    <t>1151043</t>
  </si>
  <si>
    <t xml:space="preserve">TOTAL LAT ELEM SPEECH PATHOLOGY GF  </t>
  </si>
  <si>
    <t>1151059 LATONIA LIBRARY</t>
  </si>
  <si>
    <t>1151059</t>
  </si>
  <si>
    <t xml:space="preserve">1151059 LAT ELEM LIBRARY GF                </t>
  </si>
  <si>
    <t xml:space="preserve">TOTAL LAT ELEM LIBRARY GF           </t>
  </si>
  <si>
    <t xml:space="preserve">1151077 LAT ELEM PRINCIPALS' OFFICE GF     </t>
  </si>
  <si>
    <t>1151077</t>
  </si>
  <si>
    <t>TOTAL LAT ELEM PRINCIPALS' OFFICE GF</t>
  </si>
  <si>
    <t xml:space="preserve">1151087 LAT ELEM BUILD OP &amp; MAINT GF       </t>
  </si>
  <si>
    <t>1151087</t>
  </si>
  <si>
    <t xml:space="preserve">TOTAL LAT ELEM BUILD OP &amp; MAINT GF  </t>
  </si>
  <si>
    <t xml:space="preserve">1151089 LATONIA SECURITY OPERATIONS GF         </t>
  </si>
  <si>
    <t>1151089</t>
  </si>
  <si>
    <t xml:space="preserve">TOTAL LATONIA SECURITY OPERATIONS GF    </t>
  </si>
  <si>
    <t xml:space="preserve">1151107 LAT LAND         </t>
  </si>
  <si>
    <t>1151107</t>
  </si>
  <si>
    <t>LAND IMPROVEMENT</t>
  </si>
  <si>
    <t>Repaving parking lot per Lynda</t>
  </si>
  <si>
    <t xml:space="preserve">TOTAL LAT ELEM SECURITY OPER GF     </t>
  </si>
  <si>
    <t xml:space="preserve">1151118 LAT ELEM REG INSTR GF              </t>
  </si>
  <si>
    <t>1151118</t>
  </si>
  <si>
    <t>0444A</t>
  </si>
  <si>
    <t xml:space="preserve">COMPUTER RENT                                              </t>
  </si>
  <si>
    <t xml:space="preserve">TOTAL LAT ELEM REG INSTR GF         </t>
  </si>
  <si>
    <t>1151119</t>
  </si>
  <si>
    <t xml:space="preserve">1151121 LAT ELEM SPECIAL INSTR GF          </t>
  </si>
  <si>
    <t>1151121</t>
  </si>
  <si>
    <t xml:space="preserve">TOTAL LAT ELEM SPECIAL INSTR GF     </t>
  </si>
  <si>
    <t xml:space="preserve">1151913 SECURITY OPERATIONS                </t>
  </si>
  <si>
    <t>1151913</t>
  </si>
  <si>
    <t xml:space="preserve">1151918 LATONIA REG INST BOARD PAID GF     </t>
  </si>
  <si>
    <t>1151918</t>
  </si>
  <si>
    <t xml:space="preserve">Elem academic coach </t>
  </si>
  <si>
    <t>TOTAL LATONIA REG INST BOARD PAID GF</t>
  </si>
  <si>
    <t xml:space="preserve">1151921 LATONIA SPEC ED BD PAID GF         </t>
  </si>
  <si>
    <t>1151921</t>
  </si>
  <si>
    <t>SUPP BKS</t>
  </si>
  <si>
    <t xml:space="preserve">TOTAL LATONIA SPEC ED BD PAID GF    </t>
  </si>
  <si>
    <t xml:space="preserve">1151925 LATONIA ATHLETIC INSR BD PD GF     </t>
  </si>
  <si>
    <t>1151925</t>
  </si>
  <si>
    <t>TOTAL LATONIA ATHLETIC INSR BD PD GF</t>
  </si>
  <si>
    <t xml:space="preserve">1151931 LATONIA GUIDANCE BD PAID GF      </t>
  </si>
  <si>
    <t>1151931</t>
  </si>
  <si>
    <t xml:space="preserve">TOTAL LATONIA GUIDANCE BD PAID GF </t>
  </si>
  <si>
    <t xml:space="preserve">1151959 LATONIA LIBRARY BD PAID GF        </t>
  </si>
  <si>
    <t>1151959</t>
  </si>
  <si>
    <t xml:space="preserve">TOTAL 6TH DIST LIBRARY BD PAID GF   </t>
  </si>
  <si>
    <t xml:space="preserve">1151977 LATONIA PRIN OFFIC BD PAID GF      </t>
  </si>
  <si>
    <t>1151977</t>
  </si>
  <si>
    <t xml:space="preserve">TOTAL LATONIA PRIN OFFIC BD PAID GF </t>
  </si>
  <si>
    <t xml:space="preserve">1151987 LATONIA BLDG MAINT BD PAID GF      </t>
  </si>
  <si>
    <t>1151987</t>
  </si>
  <si>
    <t>BLDG REPAIR</t>
  </si>
  <si>
    <t xml:space="preserve">TOTAL LATONIA BLDG MAINT BD PAID GF </t>
  </si>
  <si>
    <t xml:space="preserve">1151988 LATONIA BD PAID GROUND MAINT.      </t>
  </si>
  <si>
    <t>1151988</t>
  </si>
  <si>
    <t xml:space="preserve">TOTAL LATONIA BD PAID GROUND MAINT. </t>
  </si>
  <si>
    <t xml:space="preserve">1501019 9TH DISTRICT FIELD TRIPS           </t>
  </si>
  <si>
    <t>1501019</t>
  </si>
  <si>
    <t xml:space="preserve">TOTAL 9TH DISTRICT FIELD TRIPS      </t>
  </si>
  <si>
    <t xml:space="preserve">1501025 9TH ELEM ATHLETIC INSTR GF         </t>
  </si>
  <si>
    <t>1501025</t>
  </si>
  <si>
    <t xml:space="preserve">TOTAL 9TH ELEM ATHLETIC INSTR GF    </t>
  </si>
  <si>
    <t>1501012 9TH DISTRICT KINDERGARTEN</t>
  </si>
  <si>
    <t>1501012</t>
  </si>
  <si>
    <t xml:space="preserve">1501031 9TH ELEM GUIDANCE CNSL GF          </t>
  </si>
  <si>
    <t>1501031</t>
  </si>
  <si>
    <t xml:space="preserve">TOTAL 9TH ELEM GUIDANCE CNSL GF     </t>
  </si>
  <si>
    <t>1501037 9TH DISTRICT HEALTH SERVICES</t>
  </si>
  <si>
    <t>1501037</t>
  </si>
  <si>
    <t>TOTAL 9TH DISTRICT HEALTH SERVICES</t>
  </si>
  <si>
    <t xml:space="preserve">1501043 9TH ELEM SPEECH PATHOLOGY GF       </t>
  </si>
  <si>
    <t>1501043</t>
  </si>
  <si>
    <t xml:space="preserve">TOTAL 9TH ELEM SPEECH PATHOLOGY GF  </t>
  </si>
  <si>
    <t xml:space="preserve">1501059 9TH ELEM LIBRARY GF                </t>
  </si>
  <si>
    <t>1501059</t>
  </si>
  <si>
    <t xml:space="preserve">TOTAL 9TH ELEM LIBRARY GF           </t>
  </si>
  <si>
    <t xml:space="preserve">1501059 9TH ELEM SPEECH LIBRARY GF       </t>
  </si>
  <si>
    <t>LIBRARY BOOKS</t>
  </si>
  <si>
    <t xml:space="preserve">1501077 9TH ELEM PRINCIPALS' OFFICE GF     </t>
  </si>
  <si>
    <t>1501077</t>
  </si>
  <si>
    <t xml:space="preserve">SUBS </t>
  </si>
  <si>
    <t>TOTAL 9TH ELEM PRINCIPALS' OFFICE GF</t>
  </si>
  <si>
    <t xml:space="preserve">1501087 9TH ELEM BUILD OP &amp; MAINT GF       </t>
  </si>
  <si>
    <t>1501087</t>
  </si>
  <si>
    <t xml:space="preserve">TOTAL 9TH ELEM BUILD OP &amp; MAINT GF  </t>
  </si>
  <si>
    <t xml:space="preserve">1501089 9TH ELEM SECURITY OPER GF          </t>
  </si>
  <si>
    <t>1501089</t>
  </si>
  <si>
    <t xml:space="preserve">TOTAL 9TH ELEM SECURITY OPER GF     </t>
  </si>
  <si>
    <t xml:space="preserve">1501118 9TH ELEM REG INSTR GF              </t>
  </si>
  <si>
    <t>1501118</t>
  </si>
  <si>
    <t xml:space="preserve">TOTAL 9TH ELEM REG INSTR GF         </t>
  </si>
  <si>
    <t>1501119</t>
  </si>
  <si>
    <t xml:space="preserve">1501121 9TH ELEM SPECIAL INSTR GF          </t>
  </si>
  <si>
    <t>1501121</t>
  </si>
  <si>
    <t xml:space="preserve">TOTAL 9TH ELEM SPECIAL INSTR GF     </t>
  </si>
  <si>
    <t xml:space="preserve">1501148 9TH SCHOOL COUNCIL GF              </t>
  </si>
  <si>
    <t>1501148</t>
  </si>
  <si>
    <t xml:space="preserve">TOTAL 9TH SCHOOL COUNCIL GF         </t>
  </si>
  <si>
    <t xml:space="preserve">1501913 ADMINISTRATIVE TECHNOLOGY          </t>
  </si>
  <si>
    <t>1501913</t>
  </si>
  <si>
    <t>1501124 9TH DISTRICT ELL</t>
  </si>
  <si>
    <t>1501124</t>
  </si>
  <si>
    <t>TOTAL 9TH DISTRICT ELL</t>
  </si>
  <si>
    <t xml:space="preserve">1501918 9TH DIST REG INST BD PAID GF       </t>
  </si>
  <si>
    <t>1501918</t>
  </si>
  <si>
    <t xml:space="preserve">TOTAL 9TH DIST REG INST BD PAID GF  </t>
  </si>
  <si>
    <t xml:space="preserve">1501921 9TH DIST SPEC ED BD PAID GF        </t>
  </si>
  <si>
    <t>1501921</t>
  </si>
  <si>
    <t xml:space="preserve">TOTAL 9TH DIST SPEC ED BD PAID GF   </t>
  </si>
  <si>
    <t xml:space="preserve">1501925 9TH DIST ATHLETIC BD PD GF         </t>
  </si>
  <si>
    <t>1501925</t>
  </si>
  <si>
    <t>CLASSIFIED PARAPROFESSIONAL</t>
  </si>
  <si>
    <t xml:space="preserve">TOTAL 9TH DIST ATHLETIC BD PD GF    </t>
  </si>
  <si>
    <t xml:space="preserve">1501931 9TH DIST GUIDANCE BD PAID GF      </t>
  </si>
  <si>
    <t>1501931</t>
  </si>
  <si>
    <t xml:space="preserve">TOTAL 9TH DIST GUIDANCE BD PAID GF </t>
  </si>
  <si>
    <t xml:space="preserve">1501977 9TH DIST PRIN OFFIC BD PAID GF      </t>
  </si>
  <si>
    <t>1501977</t>
  </si>
  <si>
    <t xml:space="preserve">TOTAL 9TH DIST PRIN OFFIC BD PAID GF      </t>
  </si>
  <si>
    <t xml:space="preserve">1501987 9TH DIST BLDG MAINT BD PAID GF     </t>
  </si>
  <si>
    <t>1501987</t>
  </si>
  <si>
    <t>FENCING</t>
  </si>
  <si>
    <t>MACHINERY</t>
  </si>
  <si>
    <t>FURNITURE AND FIXTURES</t>
  </si>
  <si>
    <t>TOTAL 9TH DIST BLDG MAINT BD PAID GF</t>
  </si>
  <si>
    <t xml:space="preserve">1501988 9TH DIST. BD PD GROUND MAINT.      </t>
  </si>
  <si>
    <t>1501988</t>
  </si>
  <si>
    <t xml:space="preserve">TOTAL 9TH DIST. BD PD GROUND MAINT. </t>
  </si>
  <si>
    <t xml:space="preserve">1601019 G.O.S. FIELD TRIPS                 </t>
  </si>
  <si>
    <t>1601019</t>
  </si>
  <si>
    <t>MILEAGE</t>
  </si>
  <si>
    <t xml:space="preserve">TOTAL G.O.S. FIELD TRIPS            </t>
  </si>
  <si>
    <t xml:space="preserve">1601025 GOS ELEM ATHLETIC INSTR GF         </t>
  </si>
  <si>
    <t>1601025</t>
  </si>
  <si>
    <t xml:space="preserve">TOTAL GOS ELEM ATHLETIC INSTR GF    </t>
  </si>
  <si>
    <t>1601012 GOS KINDERGARTEN</t>
  </si>
  <si>
    <t>1601012</t>
  </si>
  <si>
    <t xml:space="preserve">1601031 GOS ELEM GUIDANCE CNSL GF          </t>
  </si>
  <si>
    <t>1601031</t>
  </si>
  <si>
    <t xml:space="preserve">TOTAL GOS ELEM GUIDANCE CNSL GF     </t>
  </si>
  <si>
    <t>1601037</t>
  </si>
  <si>
    <t xml:space="preserve">1601043 GOS ELEM SPEECH PATHOLOGY GF       </t>
  </si>
  <si>
    <t>1601043</t>
  </si>
  <si>
    <t xml:space="preserve">TOTAL GOS ELEM SPEECH PATHOLOGY GF  </t>
  </si>
  <si>
    <t>1601059 GOS LIBRARY</t>
  </si>
  <si>
    <t>1601059</t>
  </si>
  <si>
    <t xml:space="preserve">1601059 GOS ELEM LIBRARY GF                </t>
  </si>
  <si>
    <t xml:space="preserve">TOTAL GOS ELEM LIBRARY GF           </t>
  </si>
  <si>
    <t xml:space="preserve">1601077 GOS ELEM PRINCIPALS' OFFICE GF     </t>
  </si>
  <si>
    <t>1601077</t>
  </si>
  <si>
    <t xml:space="preserve">SUB PAY -SBDM                                              </t>
  </si>
  <si>
    <t xml:space="preserve">COPIER RENTAL                                        </t>
  </si>
  <si>
    <t>TOTAL GOS ELEM PRINCIPALS' OFFICE GF</t>
  </si>
  <si>
    <t xml:space="preserve">1601087 GOS ELEM BUILD OP &amp; MAINT GF       </t>
  </si>
  <si>
    <t>1601087</t>
  </si>
  <si>
    <t xml:space="preserve">TOTAL GOS ELEM BUILD OP &amp; MAINT GF  </t>
  </si>
  <si>
    <t xml:space="preserve">1601089 GOS ELEM SECURITY OPER GF          </t>
  </si>
  <si>
    <t>1601089</t>
  </si>
  <si>
    <t xml:space="preserve">TOTAL GOS ELEM SECURITY OPER GF     </t>
  </si>
  <si>
    <t xml:space="preserve">1601118 GOS ELEM REG INSTR GF              </t>
  </si>
  <si>
    <t>1601118</t>
  </si>
  <si>
    <t>NATIONAL BOARD CERFIFICATION</t>
  </si>
  <si>
    <t xml:space="preserve">TOTAL GOS ELEM REG INSTR GF         </t>
  </si>
  <si>
    <t>1601119 GOS ELEM PSYCHOLOGIST</t>
  </si>
  <si>
    <t>1601119</t>
  </si>
  <si>
    <t>TOTAL GOS ELEM PSYCHOGOIST</t>
  </si>
  <si>
    <t xml:space="preserve">1601121 GOS ELEM SPECIAL INSTR GF          </t>
  </si>
  <si>
    <t>1601121</t>
  </si>
  <si>
    <t xml:space="preserve">TOTAL GOS ELEM SPECIAL INSTR GF     </t>
  </si>
  <si>
    <t xml:space="preserve">1601148 GOS SCHOOL COUNCIL GF              </t>
  </si>
  <si>
    <t>1601148</t>
  </si>
  <si>
    <t xml:space="preserve">TOTAL GOS SCHOOL COUNCIL GF         </t>
  </si>
  <si>
    <t xml:space="preserve">1601124 GOS ELEM ELL         </t>
  </si>
  <si>
    <t>1601124</t>
  </si>
  <si>
    <t>TOTAL GOS ELEM ELL</t>
  </si>
  <si>
    <t xml:space="preserve">1601918 GOS REG INST BOARD PAID GF         </t>
  </si>
  <si>
    <t>1601918</t>
  </si>
  <si>
    <t xml:space="preserve">Campus monitors </t>
  </si>
  <si>
    <t xml:space="preserve">TOTAL GOS REG INST BOARD PAID GF    </t>
  </si>
  <si>
    <t xml:space="preserve">1601921 GOS SPECIAL ED BOARD PAID GF       </t>
  </si>
  <si>
    <t>1601921</t>
  </si>
  <si>
    <t xml:space="preserve">TOTAL GOS SPECIAL ED BOARD PAID GF  </t>
  </si>
  <si>
    <t xml:space="preserve">1601925 GOS ATHLETIC INSTR BD PD GF        </t>
  </si>
  <si>
    <t>1601925</t>
  </si>
  <si>
    <t xml:space="preserve">TOTAL GOS ATHLETIC INSTR BD PD GF   </t>
  </si>
  <si>
    <t xml:space="preserve">1601931 GOS GUIDANCE BOARD PAID GF         </t>
  </si>
  <si>
    <t>1601931</t>
  </si>
  <si>
    <t xml:space="preserve">TOTAL GOS GUIDANCE BOARD PAID GF    </t>
  </si>
  <si>
    <t xml:space="preserve">1601977 GOS PRIN OFFICE BOARD PAID GF      </t>
  </si>
  <si>
    <t>1601977</t>
  </si>
  <si>
    <t xml:space="preserve">TOTAL GOS PRIN OFFICE BOARD PAID GF </t>
  </si>
  <si>
    <t xml:space="preserve">1601987 GOS BLDG MAINT BOARD PAID GF       </t>
  </si>
  <si>
    <t>1601987</t>
  </si>
  <si>
    <t>LAND/LAND IMPROVEMENTS</t>
  </si>
  <si>
    <t xml:space="preserve">TOTAL GOS BLDG MAINT BOARD PAID GF  </t>
  </si>
  <si>
    <t xml:space="preserve">1601988 GOS BD PAID GROUND MAINTENANCE     </t>
  </si>
  <si>
    <t>1601988</t>
  </si>
  <si>
    <t>TOTAL GOS BD PAID GROUND MAINTENANCE</t>
  </si>
  <si>
    <t xml:space="preserve">1701019 SIXTH DISTRICT FIELD TRIPS         </t>
  </si>
  <si>
    <t>1701019</t>
  </si>
  <si>
    <t xml:space="preserve">TOTAL SIXTH DISTRICT FIELD TRIPS    </t>
  </si>
  <si>
    <t xml:space="preserve">1701025 6TH ELEM ATHLETIC INSTR GF         </t>
  </si>
  <si>
    <t>1701025</t>
  </si>
  <si>
    <t xml:space="preserve">TOTAL 6TH ELEM ATHLETIC INSTR GF    </t>
  </si>
  <si>
    <t>1701012 6TH DISTRICT KINDERGARTEN</t>
  </si>
  <si>
    <t>1701012</t>
  </si>
  <si>
    <t xml:space="preserve">1701031 6TH ELEM GUIDANCE CNSL GF          </t>
  </si>
  <si>
    <t>1701031</t>
  </si>
  <si>
    <t xml:space="preserve">TOTAL 6TH ELEM GUIDANCE CNSL GF     </t>
  </si>
  <si>
    <t>1701037</t>
  </si>
  <si>
    <t xml:space="preserve">1701043 6TH ELEM SPEECH PATHOLOGY GF       </t>
  </si>
  <si>
    <t>1701043</t>
  </si>
  <si>
    <t xml:space="preserve">TOTAL 6TH ELEM SPEECH PATHOLOGY GF  </t>
  </si>
  <si>
    <t>1701059 6TH DISTRICT LIBRARY</t>
  </si>
  <si>
    <t>1701059</t>
  </si>
  <si>
    <t xml:space="preserve">1701059 6TH ELEM LIBRARY GF                </t>
  </si>
  <si>
    <t xml:space="preserve">TOTAL 6TH ELEM LIBRARY GF           </t>
  </si>
  <si>
    <t xml:space="preserve">1701077 6TH ELEM PRINCIPALS' OFFICE GF     </t>
  </si>
  <si>
    <t>1701077</t>
  </si>
  <si>
    <t>TOTAL 6TH ELEM PRINCIPALS' OFFICE GF</t>
  </si>
  <si>
    <t xml:space="preserve">1701087 6TH ELEM BUILD OP &amp; MAINT GF       </t>
  </si>
  <si>
    <t>1701087</t>
  </si>
  <si>
    <t xml:space="preserve">TOTAL 6TH ELEM BUILD OP &amp; MAINT GF  </t>
  </si>
  <si>
    <t xml:space="preserve">1701089 6TH ELEM SECURITY OPER GF          </t>
  </si>
  <si>
    <t>1701089</t>
  </si>
  <si>
    <t xml:space="preserve">TOTAL 6TH ELEM SECURITY OPER GF     </t>
  </si>
  <si>
    <t xml:space="preserve">1701118 6TH ELEM REG INSTR GF              </t>
  </si>
  <si>
    <t>1701118</t>
  </si>
  <si>
    <t xml:space="preserve">TOTAL 6TH ELEM REG INSTR GF         </t>
  </si>
  <si>
    <t>1701119 6TH ELEM PSYCHOLOGIST</t>
  </si>
  <si>
    <t>1701119</t>
  </si>
  <si>
    <t>TOTAL 6TH ELEM PSYCHOGOIST</t>
  </si>
  <si>
    <t xml:space="preserve">1701121 6TH ELEM SPECIAL INSTR GF          </t>
  </si>
  <si>
    <t>1701121</t>
  </si>
  <si>
    <t xml:space="preserve">TOTAL 6TH ELEM SPECIAL INSTR GF     </t>
  </si>
  <si>
    <t xml:space="preserve">1701148 6TH SCHOOL COUNCIL GF              </t>
  </si>
  <si>
    <t>1701148</t>
  </si>
  <si>
    <t xml:space="preserve">TOTAL 6TH SCHOOL COUNCIL GF         </t>
  </si>
  <si>
    <t xml:space="preserve">1701913 ADMINISTRATIVE TECHNOLOGY          </t>
  </si>
  <si>
    <t>1701913</t>
  </si>
  <si>
    <t>1701124 6TH DISTRICT ELL</t>
  </si>
  <si>
    <t>1701124</t>
  </si>
  <si>
    <t>TOTAL 6TH DISTRICT ELL</t>
  </si>
  <si>
    <t xml:space="preserve">1701918 6TH DIST REG INST BD PAID GF       </t>
  </si>
  <si>
    <t>1701918</t>
  </si>
  <si>
    <t>FENCE</t>
  </si>
  <si>
    <t xml:space="preserve">TOTAL 6TH DIST REG INST BD PAID GF  </t>
  </si>
  <si>
    <t xml:space="preserve">1701921 6TH DIST SPEC ED BD PAID GF        </t>
  </si>
  <si>
    <t>1701921</t>
  </si>
  <si>
    <t xml:space="preserve">TOTAL 6TH DIST SPEC ED BD PAID GF   </t>
  </si>
  <si>
    <t xml:space="preserve">1701925 6TH DIST ATHLETIC BD PD GF         </t>
  </si>
  <si>
    <t>1701925</t>
  </si>
  <si>
    <t>PARAPROFESSIONAL</t>
  </si>
  <si>
    <t xml:space="preserve">TOTAL 6TH DIST ATHLETIC BD PD GF    </t>
  </si>
  <si>
    <t xml:space="preserve">1701931 6TH DIST GUIDANCE BOARD PAID GF         </t>
  </si>
  <si>
    <t>1701931</t>
  </si>
  <si>
    <t xml:space="preserve">TOTAL 6TH DIST GUIDANCE BOARD PAID GF    </t>
  </si>
  <si>
    <t xml:space="preserve">1701959 6TH DIST LIBRARY BD PAID GF        </t>
  </si>
  <si>
    <t>1701959</t>
  </si>
  <si>
    <t xml:space="preserve">1701977 6TH DIST PRIN OFFICE BOARD PAID GF      </t>
  </si>
  <si>
    <t>1701977</t>
  </si>
  <si>
    <t xml:space="preserve">TOTAL 6TH DIST PRIN OFFICE BOARD PAID GF </t>
  </si>
  <si>
    <t xml:space="preserve">1701987 6TH DIST BLDG MAINT BD PAID GF     </t>
  </si>
  <si>
    <t>1701987</t>
  </si>
  <si>
    <t>OTHER RENTAL</t>
  </si>
  <si>
    <t>TOTAL 6TH DIST BLDG MAINT BD PAID GF</t>
  </si>
  <si>
    <t xml:space="preserve">1701988 6TH DIST BD PD GROUND MAINT.       </t>
  </si>
  <si>
    <t>1701988</t>
  </si>
  <si>
    <t xml:space="preserve">TOTAL 6TH DIST BD PD GROUND MAINT.  </t>
  </si>
  <si>
    <t xml:space="preserve">9011010 BUS DRIVING VOCATIONAL ED          </t>
  </si>
  <si>
    <t>9011010</t>
  </si>
  <si>
    <t xml:space="preserve">TOTAL BUS DRIVING VOCATIONAL ED     </t>
  </si>
  <si>
    <t xml:space="preserve">9011016 BUS MONITORS-NOT PRESCH GF         </t>
  </si>
  <si>
    <t>9011016</t>
  </si>
  <si>
    <t>CLASSIFIED SUB</t>
  </si>
  <si>
    <t>0294</t>
  </si>
  <si>
    <t>HEALTH INSURANCE</t>
  </si>
  <si>
    <t>J. H. - district has to pay health ins- retired &amp; came back</t>
  </si>
  <si>
    <t xml:space="preserve">TOTAL BUS MONITORS-NOT PRESCH GF    </t>
  </si>
  <si>
    <t xml:space="preserve">9011087 BUS GARAGE BUILD OP &amp; MAINT GF     </t>
  </si>
  <si>
    <t>9011087</t>
  </si>
  <si>
    <t>REGISTRATION FEE</t>
  </si>
  <si>
    <t>0419</t>
  </si>
  <si>
    <t xml:space="preserve">OTHER UTILITY                                               </t>
  </si>
  <si>
    <t>SANITATION SERVICE</t>
  </si>
  <si>
    <t>TECH RELATED REPS &amp; MAINT</t>
  </si>
  <si>
    <t>VEHICLE REPAIR &amp; MAINT</t>
  </si>
  <si>
    <t>0513</t>
  </si>
  <si>
    <t>BUS TOKEN</t>
  </si>
  <si>
    <t>SVC PRCH ANT DST</t>
  </si>
  <si>
    <t>DIESEL FUEL</t>
  </si>
  <si>
    <t>needs to put function 2740 under org 9011096</t>
  </si>
  <si>
    <t>MAGAZINES</t>
  </si>
  <si>
    <t>AUDIOVISUAL MATERIALS</t>
  </si>
  <si>
    <t>0662</t>
  </si>
  <si>
    <t>TIRES &amp; LUBES</t>
  </si>
  <si>
    <t>VEHICLES</t>
  </si>
  <si>
    <t>TOTAL BUS GARAGE BUILD OP &amp; MAINT GF</t>
  </si>
  <si>
    <t xml:space="preserve">9011088 BUS GARAGE GROUNDS MAINT. GF       </t>
  </si>
  <si>
    <t>9011088</t>
  </si>
  <si>
    <t xml:space="preserve">TOTAL BUS GARAGE GROUNDS MAINT. GF  </t>
  </si>
  <si>
    <t xml:space="preserve">9011091 TRANSPORTATION DIRECTOR GF         </t>
  </si>
  <si>
    <t>9011091</t>
  </si>
  <si>
    <t xml:space="preserve">TOTAL TRANSPORTATION DIRECTOR GF    </t>
  </si>
  <si>
    <t xml:space="preserve">9011092 BUS DRIVING-REG GF                 </t>
  </si>
  <si>
    <t>9011092</t>
  </si>
  <si>
    <t>M. H. - district has to pay health ins- retired &amp; came back</t>
  </si>
  <si>
    <t xml:space="preserve">TOTAL BUS DRIVING-REG GF            </t>
  </si>
  <si>
    <t xml:space="preserve">9011093 BUS DRIVING-SPEC ED GF             </t>
  </si>
  <si>
    <t>9011093</t>
  </si>
  <si>
    <t xml:space="preserve">TOTAL BUS DRIVING-SPEC ED GF        </t>
  </si>
  <si>
    <t xml:space="preserve">9011096 BUS MAINTENANCE GF                 </t>
  </si>
  <si>
    <t>9011096</t>
  </si>
  <si>
    <t xml:space="preserve">TOTAL BUS MAINTENANCE GF            </t>
  </si>
  <si>
    <t xml:space="preserve">9011129 BUS MONITORS-HANDICAPPED GF        </t>
  </si>
  <si>
    <t>9011129</t>
  </si>
  <si>
    <t xml:space="preserve">TOTAL BUS MONITORS-HANDICAPPED GF   </t>
  </si>
  <si>
    <t xml:space="preserve">9061918 CHAPMAN REG INST BD PAID GF        </t>
  </si>
  <si>
    <t>9061918</t>
  </si>
  <si>
    <t>9061987</t>
  </si>
  <si>
    <t>NON-TECH RELATED</t>
  </si>
  <si>
    <t xml:space="preserve">TOTAL CHAPMAN REG INST BD PAID GF   </t>
  </si>
  <si>
    <t xml:space="preserve">9201134 MAINTENANCE SHOP OPERATIONS GF     </t>
  </si>
  <si>
    <t>9201134</t>
  </si>
  <si>
    <t xml:space="preserve">VEHICLE REPAIR &amp; MAINT                                      </t>
  </si>
  <si>
    <t xml:space="preserve">GASOLINE                                                    </t>
  </si>
  <si>
    <t xml:space="preserve">DIESEL FUEL                                                 </t>
  </si>
  <si>
    <t>SALARY AND FRINGES</t>
  </si>
  <si>
    <t>TOTAL MAINTENANCE SHOP OPERATIONS GF</t>
  </si>
  <si>
    <t>CHAPMAN CHILD DEVELOPMENT</t>
  </si>
  <si>
    <t>9601918</t>
  </si>
  <si>
    <t>TOTAL CHAPMAN CHILD DEVELOPMENT</t>
  </si>
  <si>
    <t xml:space="preserve">TOTAL REVENUES </t>
  </si>
  <si>
    <t xml:space="preserve">TOTAL EXPENSES </t>
  </si>
  <si>
    <t>DIFFERENCE TO SPEND</t>
  </si>
  <si>
    <t>Fringe % certified:</t>
  </si>
  <si>
    <t>Fringe % classified:</t>
  </si>
  <si>
    <t>Food service 260K &amp; grant indirects 9/5/23</t>
  </si>
  <si>
    <t xml:space="preserve">Can't put in 110-5220 transfers won't balance since some indirects are on prior </t>
  </si>
  <si>
    <t>project years that don't pull in MUNIS -use 110 1997 for now</t>
  </si>
  <si>
    <t>10% before budgeting for on-behalf payments</t>
  </si>
  <si>
    <t>9011095</t>
  </si>
  <si>
    <t xml:space="preserve">9011095 BUS MONITORS-PRESCHOOL GF             </t>
  </si>
  <si>
    <t>PLUS 5 ELL STAFF IN ESSER II AND ESSER III FOR YEARS - HAVE TO BRING BACK INTO</t>
  </si>
  <si>
    <t>GF IN FY25 APPROXIMATELY 325K.</t>
  </si>
  <si>
    <t>money needed for Biggs since KERA grant is getting cut - will help pay for transportation costs-SEE TRANSPORTATION CODES BELOW</t>
  </si>
  <si>
    <t>Estimated at 3% along with increasing line on salary schedule not at 27 years yet 1 MILLION</t>
  </si>
  <si>
    <t xml:space="preserve">1101124 JGC ELL GF         </t>
  </si>
  <si>
    <t>0582+B3744</t>
  </si>
  <si>
    <t xml:space="preserve">9011793 BUS DRIVING-PRESCHOOL GF             </t>
  </si>
  <si>
    <t>9011793</t>
  </si>
  <si>
    <t>9/6/23 had to change org from 9011792 set up under fund 2 in error</t>
  </si>
  <si>
    <t>and would not let me change it.  Had to change to 9011793 instead.</t>
  </si>
  <si>
    <t>See below same 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</si>
</sst>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0" fillId="0" borderId="0" xfId="0" applyNumberFormat="1" applyFill="1" applyAlignment="1">
      <alignment horizontal="centerContinuous" vertical="top"/>
    </xf>
    <xf numFmtId="0" fontId="0" fillId="0" borderId="0" xfId="0" applyFill="1" applyAlignment="1">
      <alignment horizontal="centerContinuous" vertical="top"/>
    </xf>
    <xf numFmtId="43" fontId="0" fillId="0" borderId="0" xfId="1" applyFont="1" applyFill="1" applyAlignment="1">
      <alignment horizontal="centerContinuous" vertical="top"/>
    </xf>
    <xf numFmtId="0" fontId="0" fillId="0" borderId="0" xfId="0" applyFill="1"/>
    <xf numFmtId="43" fontId="0" fillId="0" borderId="0" xfId="1" applyFont="1" applyFill="1"/>
    <xf numFmtId="49" fontId="0" fillId="0" borderId="0" xfId="0" applyNumberFormat="1" applyFill="1"/>
    <xf numFmtId="43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quotePrefix="1" applyFont="1" applyFill="1" applyAlignment="1">
      <alignment horizontal="left"/>
    </xf>
    <xf numFmtId="49" fontId="0" fillId="0" borderId="0" xfId="0" quotePrefix="1" applyNumberFormat="1" applyFill="1"/>
    <xf numFmtId="0" fontId="0" fillId="0" borderId="0" xfId="0" quotePrefix="1" applyFill="1"/>
    <xf numFmtId="43" fontId="0" fillId="0" borderId="0" xfId="0" applyNumberFormat="1" applyFill="1"/>
    <xf numFmtId="43" fontId="0" fillId="0" borderId="0" xfId="1" applyNumberFormat="1" applyFont="1" applyFill="1"/>
    <xf numFmtId="43" fontId="0" fillId="2" borderId="0" xfId="1" applyFont="1" applyFill="1"/>
    <xf numFmtId="0" fontId="0" fillId="2" borderId="0" xfId="0" applyFont="1" applyFill="1"/>
    <xf numFmtId="0" fontId="0" fillId="2" borderId="0" xfId="0" applyFill="1"/>
    <xf numFmtId="0" fontId="0" fillId="0" borderId="0" xfId="0" applyFont="1" applyFill="1"/>
    <xf numFmtId="49" fontId="3" fillId="0" borderId="0" xfId="0" quotePrefix="1" applyNumberFormat="1" applyFont="1" applyFill="1"/>
    <xf numFmtId="49" fontId="0" fillId="2" borderId="0" xfId="0" quotePrefix="1" applyNumberFormat="1" applyFill="1"/>
    <xf numFmtId="0" fontId="2" fillId="0" borderId="0" xfId="0" applyFont="1" applyFill="1"/>
    <xf numFmtId="10" fontId="0" fillId="2" borderId="0" xfId="0" applyNumberFormat="1" applyFill="1" applyAlignment="1">
      <alignment horizontal="left"/>
    </xf>
    <xf numFmtId="16" fontId="0" fillId="0" borderId="0" xfId="0" applyNumberFormat="1" applyFill="1"/>
    <xf numFmtId="46" fontId="0" fillId="0" borderId="0" xfId="0" quotePrefix="1" applyNumberFormat="1" applyFill="1"/>
    <xf numFmtId="2" fontId="0" fillId="0" borderId="0" xfId="0" applyNumberFormat="1" applyFill="1"/>
    <xf numFmtId="6" fontId="0" fillId="0" borderId="0" xfId="0" applyNumberFormat="1" applyFill="1"/>
    <xf numFmtId="0" fontId="3" fillId="0" borderId="0" xfId="0" applyFont="1" applyFill="1"/>
    <xf numFmtId="43" fontId="0" fillId="2" borderId="0" xfId="0" applyNumberFormat="1" applyFill="1"/>
    <xf numFmtId="164" fontId="0" fillId="0" borderId="0" xfId="1" applyNumberFormat="1" applyFont="1" applyFill="1"/>
    <xf numFmtId="0" fontId="4" fillId="0" borderId="0" xfId="0" applyFont="1" applyFill="1"/>
    <xf numFmtId="4" fontId="4" fillId="0" borderId="0" xfId="0" applyNumberFormat="1" applyFont="1" applyFill="1"/>
    <xf numFmtId="16" fontId="0" fillId="0" borderId="0" xfId="0" quotePrefix="1" applyNumberFormat="1" applyFill="1"/>
    <xf numFmtId="0" fontId="3" fillId="0" borderId="0" xfId="0" quotePrefix="1" applyFont="1" applyFill="1"/>
    <xf numFmtId="165" fontId="3" fillId="0" borderId="0" xfId="0" applyNumberFormat="1" applyFont="1" applyFill="1"/>
    <xf numFmtId="0" fontId="3" fillId="2" borderId="0" xfId="0" applyFont="1" applyFill="1"/>
    <xf numFmtId="43" fontId="0" fillId="0" borderId="0" xfId="1" applyFont="1"/>
    <xf numFmtId="43" fontId="0" fillId="3" borderId="0" xfId="1" applyFont="1" applyFill="1"/>
    <xf numFmtId="0" fontId="0" fillId="3" borderId="0" xfId="0" applyFill="1"/>
    <xf numFmtId="43" fontId="2" fillId="3" borderId="0" xfId="1" applyFont="1" applyFill="1" applyAlignment="1">
      <alignment horizontal="center"/>
    </xf>
    <xf numFmtId="49" fontId="0" fillId="3" borderId="0" xfId="0" applyNumberFormat="1" applyFill="1"/>
    <xf numFmtId="49" fontId="0" fillId="3" borderId="0" xfId="0" quotePrefix="1" applyNumberFormat="1" applyFill="1"/>
    <xf numFmtId="43" fontId="0" fillId="3" borderId="0" xfId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88"/>
  <sheetViews>
    <sheetView tabSelected="1" topLeftCell="A3786" zoomScaleNormal="100" workbookViewId="0">
      <selection activeCell="A3786" sqref="A3786"/>
    </sheetView>
  </sheetViews>
  <sheetFormatPr defaultRowHeight="15" x14ac:dyDescent="0.25"/>
  <cols>
    <col min="1" max="1" width="50.28515625" style="4" customWidth="1"/>
    <col min="2" max="2" width="13.28515625" style="4" customWidth="1"/>
    <col min="3" max="3" width="11.5703125" style="4" customWidth="1"/>
    <col min="4" max="4" width="36.28515625" style="4" customWidth="1"/>
    <col min="5" max="5" width="16.42578125" style="5" customWidth="1"/>
    <col min="6" max="6" width="58.85546875" style="4" customWidth="1"/>
    <col min="7" max="7" width="15.28515625" style="4" customWidth="1"/>
    <col min="8" max="8" width="9.140625" style="4"/>
    <col min="9" max="9" width="14.85546875" style="4" customWidth="1"/>
    <col min="10" max="10" width="11.5703125" style="4" customWidth="1"/>
    <col min="11" max="11" width="9.140625" style="4"/>
    <col min="12" max="12" width="27.42578125" style="4" customWidth="1"/>
    <col min="13" max="126" width="9.140625" style="4"/>
    <col min="127" max="127" width="50.28515625" style="4" customWidth="1"/>
    <col min="128" max="128" width="13.28515625" style="4" customWidth="1"/>
    <col min="129" max="129" width="11.5703125" style="4" customWidth="1"/>
    <col min="130" max="130" width="36.28515625" style="4" customWidth="1"/>
    <col min="131" max="131" width="16.42578125" style="4" customWidth="1"/>
    <col min="132" max="132" width="58.85546875" style="4" customWidth="1"/>
    <col min="133" max="133" width="15.28515625" style="4" customWidth="1"/>
    <col min="134" max="134" width="9.140625" style="4"/>
    <col min="135" max="135" width="14.85546875" style="4" customWidth="1"/>
    <col min="136" max="136" width="11.5703125" style="4" customWidth="1"/>
    <col min="137" max="137" width="9.140625" style="4"/>
    <col min="138" max="138" width="27.42578125" style="4" customWidth="1"/>
    <col min="139" max="382" width="9.140625" style="4"/>
    <col min="383" max="383" width="50.28515625" style="4" customWidth="1"/>
    <col min="384" max="384" width="13.28515625" style="4" customWidth="1"/>
    <col min="385" max="385" width="11.5703125" style="4" customWidth="1"/>
    <col min="386" max="386" width="36.28515625" style="4" customWidth="1"/>
    <col min="387" max="387" width="16.42578125" style="4" customWidth="1"/>
    <col min="388" max="388" width="58.85546875" style="4" customWidth="1"/>
    <col min="389" max="389" width="15.28515625" style="4" customWidth="1"/>
    <col min="390" max="390" width="9.140625" style="4"/>
    <col min="391" max="391" width="14.85546875" style="4" customWidth="1"/>
    <col min="392" max="392" width="11.5703125" style="4" customWidth="1"/>
    <col min="393" max="393" width="9.140625" style="4"/>
    <col min="394" max="394" width="27.42578125" style="4" customWidth="1"/>
    <col min="395" max="638" width="9.140625" style="4"/>
    <col min="639" max="639" width="50.28515625" style="4" customWidth="1"/>
    <col min="640" max="640" width="13.28515625" style="4" customWidth="1"/>
    <col min="641" max="641" width="11.5703125" style="4" customWidth="1"/>
    <col min="642" max="642" width="36.28515625" style="4" customWidth="1"/>
    <col min="643" max="643" width="16.42578125" style="4" customWidth="1"/>
    <col min="644" max="644" width="58.85546875" style="4" customWidth="1"/>
    <col min="645" max="645" width="15.28515625" style="4" customWidth="1"/>
    <col min="646" max="646" width="9.140625" style="4"/>
    <col min="647" max="647" width="14.85546875" style="4" customWidth="1"/>
    <col min="648" max="648" width="11.5703125" style="4" customWidth="1"/>
    <col min="649" max="649" width="9.140625" style="4"/>
    <col min="650" max="650" width="27.42578125" style="4" customWidth="1"/>
    <col min="651" max="894" width="9.140625" style="4"/>
    <col min="895" max="895" width="50.28515625" style="4" customWidth="1"/>
    <col min="896" max="896" width="13.28515625" style="4" customWidth="1"/>
    <col min="897" max="897" width="11.5703125" style="4" customWidth="1"/>
    <col min="898" max="898" width="36.28515625" style="4" customWidth="1"/>
    <col min="899" max="899" width="16.42578125" style="4" customWidth="1"/>
    <col min="900" max="900" width="58.85546875" style="4" customWidth="1"/>
    <col min="901" max="901" width="15.28515625" style="4" customWidth="1"/>
    <col min="902" max="902" width="9.140625" style="4"/>
    <col min="903" max="903" width="14.85546875" style="4" customWidth="1"/>
    <col min="904" max="904" width="11.5703125" style="4" customWidth="1"/>
    <col min="905" max="905" width="9.140625" style="4"/>
    <col min="906" max="906" width="27.42578125" style="4" customWidth="1"/>
    <col min="907" max="1150" width="9.140625" style="4"/>
    <col min="1151" max="1151" width="50.28515625" style="4" customWidth="1"/>
    <col min="1152" max="1152" width="13.28515625" style="4" customWidth="1"/>
    <col min="1153" max="1153" width="11.5703125" style="4" customWidth="1"/>
    <col min="1154" max="1154" width="36.28515625" style="4" customWidth="1"/>
    <col min="1155" max="1155" width="16.42578125" style="4" customWidth="1"/>
    <col min="1156" max="1156" width="58.85546875" style="4" customWidth="1"/>
    <col min="1157" max="1157" width="15.28515625" style="4" customWidth="1"/>
    <col min="1158" max="1158" width="9.140625" style="4"/>
    <col min="1159" max="1159" width="14.85546875" style="4" customWidth="1"/>
    <col min="1160" max="1160" width="11.5703125" style="4" customWidth="1"/>
    <col min="1161" max="1161" width="9.140625" style="4"/>
    <col min="1162" max="1162" width="27.42578125" style="4" customWidth="1"/>
    <col min="1163" max="1406" width="9.140625" style="4"/>
    <col min="1407" max="1407" width="50.28515625" style="4" customWidth="1"/>
    <col min="1408" max="1408" width="13.28515625" style="4" customWidth="1"/>
    <col min="1409" max="1409" width="11.5703125" style="4" customWidth="1"/>
    <col min="1410" max="1410" width="36.28515625" style="4" customWidth="1"/>
    <col min="1411" max="1411" width="16.42578125" style="4" customWidth="1"/>
    <col min="1412" max="1412" width="58.85546875" style="4" customWidth="1"/>
    <col min="1413" max="1413" width="15.28515625" style="4" customWidth="1"/>
    <col min="1414" max="1414" width="9.140625" style="4"/>
    <col min="1415" max="1415" width="14.85546875" style="4" customWidth="1"/>
    <col min="1416" max="1416" width="11.5703125" style="4" customWidth="1"/>
    <col min="1417" max="1417" width="9.140625" style="4"/>
    <col min="1418" max="1418" width="27.42578125" style="4" customWidth="1"/>
    <col min="1419" max="1662" width="9.140625" style="4"/>
    <col min="1663" max="1663" width="50.28515625" style="4" customWidth="1"/>
    <col min="1664" max="1664" width="13.28515625" style="4" customWidth="1"/>
    <col min="1665" max="1665" width="11.5703125" style="4" customWidth="1"/>
    <col min="1666" max="1666" width="36.28515625" style="4" customWidth="1"/>
    <col min="1667" max="1667" width="16.42578125" style="4" customWidth="1"/>
    <col min="1668" max="1668" width="58.85546875" style="4" customWidth="1"/>
    <col min="1669" max="1669" width="15.28515625" style="4" customWidth="1"/>
    <col min="1670" max="1670" width="9.140625" style="4"/>
    <col min="1671" max="1671" width="14.85546875" style="4" customWidth="1"/>
    <col min="1672" max="1672" width="11.5703125" style="4" customWidth="1"/>
    <col min="1673" max="1673" width="9.140625" style="4"/>
    <col min="1674" max="1674" width="27.42578125" style="4" customWidth="1"/>
    <col min="1675" max="1918" width="9.140625" style="4"/>
    <col min="1919" max="1919" width="50.28515625" style="4" customWidth="1"/>
    <col min="1920" max="1920" width="13.28515625" style="4" customWidth="1"/>
    <col min="1921" max="1921" width="11.5703125" style="4" customWidth="1"/>
    <col min="1922" max="1922" width="36.28515625" style="4" customWidth="1"/>
    <col min="1923" max="1923" width="16.42578125" style="4" customWidth="1"/>
    <col min="1924" max="1924" width="58.85546875" style="4" customWidth="1"/>
    <col min="1925" max="1925" width="15.28515625" style="4" customWidth="1"/>
    <col min="1926" max="1926" width="9.140625" style="4"/>
    <col min="1927" max="1927" width="14.85546875" style="4" customWidth="1"/>
    <col min="1928" max="1928" width="11.5703125" style="4" customWidth="1"/>
    <col min="1929" max="1929" width="9.140625" style="4"/>
    <col min="1930" max="1930" width="27.42578125" style="4" customWidth="1"/>
    <col min="1931" max="2174" width="9.140625" style="4"/>
    <col min="2175" max="2175" width="50.28515625" style="4" customWidth="1"/>
    <col min="2176" max="2176" width="13.28515625" style="4" customWidth="1"/>
    <col min="2177" max="2177" width="11.5703125" style="4" customWidth="1"/>
    <col min="2178" max="2178" width="36.28515625" style="4" customWidth="1"/>
    <col min="2179" max="2179" width="16.42578125" style="4" customWidth="1"/>
    <col min="2180" max="2180" width="58.85546875" style="4" customWidth="1"/>
    <col min="2181" max="2181" width="15.28515625" style="4" customWidth="1"/>
    <col min="2182" max="2182" width="9.140625" style="4"/>
    <col min="2183" max="2183" width="14.85546875" style="4" customWidth="1"/>
    <col min="2184" max="2184" width="11.5703125" style="4" customWidth="1"/>
    <col min="2185" max="2185" width="9.140625" style="4"/>
    <col min="2186" max="2186" width="27.42578125" style="4" customWidth="1"/>
    <col min="2187" max="2430" width="9.140625" style="4"/>
    <col min="2431" max="2431" width="50.28515625" style="4" customWidth="1"/>
    <col min="2432" max="2432" width="13.28515625" style="4" customWidth="1"/>
    <col min="2433" max="2433" width="11.5703125" style="4" customWidth="1"/>
    <col min="2434" max="2434" width="36.28515625" style="4" customWidth="1"/>
    <col min="2435" max="2435" width="16.42578125" style="4" customWidth="1"/>
    <col min="2436" max="2436" width="58.85546875" style="4" customWidth="1"/>
    <col min="2437" max="2437" width="15.28515625" style="4" customWidth="1"/>
    <col min="2438" max="2438" width="9.140625" style="4"/>
    <col min="2439" max="2439" width="14.85546875" style="4" customWidth="1"/>
    <col min="2440" max="2440" width="11.5703125" style="4" customWidth="1"/>
    <col min="2441" max="2441" width="9.140625" style="4"/>
    <col min="2442" max="2442" width="27.42578125" style="4" customWidth="1"/>
    <col min="2443" max="2686" width="9.140625" style="4"/>
    <col min="2687" max="2687" width="50.28515625" style="4" customWidth="1"/>
    <col min="2688" max="2688" width="13.28515625" style="4" customWidth="1"/>
    <col min="2689" max="2689" width="11.5703125" style="4" customWidth="1"/>
    <col min="2690" max="2690" width="36.28515625" style="4" customWidth="1"/>
    <col min="2691" max="2691" width="16.42578125" style="4" customWidth="1"/>
    <col min="2692" max="2692" width="58.85546875" style="4" customWidth="1"/>
    <col min="2693" max="2693" width="15.28515625" style="4" customWidth="1"/>
    <col min="2694" max="2694" width="9.140625" style="4"/>
    <col min="2695" max="2695" width="14.85546875" style="4" customWidth="1"/>
    <col min="2696" max="2696" width="11.5703125" style="4" customWidth="1"/>
    <col min="2697" max="2697" width="9.140625" style="4"/>
    <col min="2698" max="2698" width="27.42578125" style="4" customWidth="1"/>
    <col min="2699" max="2942" width="9.140625" style="4"/>
    <col min="2943" max="2943" width="50.28515625" style="4" customWidth="1"/>
    <col min="2944" max="2944" width="13.28515625" style="4" customWidth="1"/>
    <col min="2945" max="2945" width="11.5703125" style="4" customWidth="1"/>
    <col min="2946" max="2946" width="36.28515625" style="4" customWidth="1"/>
    <col min="2947" max="2947" width="16.42578125" style="4" customWidth="1"/>
    <col min="2948" max="2948" width="58.85546875" style="4" customWidth="1"/>
    <col min="2949" max="2949" width="15.28515625" style="4" customWidth="1"/>
    <col min="2950" max="2950" width="9.140625" style="4"/>
    <col min="2951" max="2951" width="14.85546875" style="4" customWidth="1"/>
    <col min="2952" max="2952" width="11.5703125" style="4" customWidth="1"/>
    <col min="2953" max="2953" width="9.140625" style="4"/>
    <col min="2954" max="2954" width="27.42578125" style="4" customWidth="1"/>
    <col min="2955" max="3198" width="9.140625" style="4"/>
    <col min="3199" max="3199" width="50.28515625" style="4" customWidth="1"/>
    <col min="3200" max="3200" width="13.28515625" style="4" customWidth="1"/>
    <col min="3201" max="3201" width="11.5703125" style="4" customWidth="1"/>
    <col min="3202" max="3202" width="36.28515625" style="4" customWidth="1"/>
    <col min="3203" max="3203" width="16.42578125" style="4" customWidth="1"/>
    <col min="3204" max="3204" width="58.85546875" style="4" customWidth="1"/>
    <col min="3205" max="3205" width="15.28515625" style="4" customWidth="1"/>
    <col min="3206" max="3206" width="9.140625" style="4"/>
    <col min="3207" max="3207" width="14.85546875" style="4" customWidth="1"/>
    <col min="3208" max="3208" width="11.5703125" style="4" customWidth="1"/>
    <col min="3209" max="3209" width="9.140625" style="4"/>
    <col min="3210" max="3210" width="27.42578125" style="4" customWidth="1"/>
    <col min="3211" max="3454" width="9.140625" style="4"/>
    <col min="3455" max="3455" width="50.28515625" style="4" customWidth="1"/>
    <col min="3456" max="3456" width="13.28515625" style="4" customWidth="1"/>
    <col min="3457" max="3457" width="11.5703125" style="4" customWidth="1"/>
    <col min="3458" max="3458" width="36.28515625" style="4" customWidth="1"/>
    <col min="3459" max="3459" width="16.42578125" style="4" customWidth="1"/>
    <col min="3460" max="3460" width="58.85546875" style="4" customWidth="1"/>
    <col min="3461" max="3461" width="15.28515625" style="4" customWidth="1"/>
    <col min="3462" max="3462" width="9.140625" style="4"/>
    <col min="3463" max="3463" width="14.85546875" style="4" customWidth="1"/>
    <col min="3464" max="3464" width="11.5703125" style="4" customWidth="1"/>
    <col min="3465" max="3465" width="9.140625" style="4"/>
    <col min="3466" max="3466" width="27.42578125" style="4" customWidth="1"/>
    <col min="3467" max="3710" width="9.140625" style="4"/>
    <col min="3711" max="3711" width="50.28515625" style="4" customWidth="1"/>
    <col min="3712" max="3712" width="13.28515625" style="4" customWidth="1"/>
    <col min="3713" max="3713" width="11.5703125" style="4" customWidth="1"/>
    <col min="3714" max="3714" width="36.28515625" style="4" customWidth="1"/>
    <col min="3715" max="3715" width="16.42578125" style="4" customWidth="1"/>
    <col min="3716" max="3716" width="58.85546875" style="4" customWidth="1"/>
    <col min="3717" max="3717" width="15.28515625" style="4" customWidth="1"/>
    <col min="3718" max="3718" width="9.140625" style="4"/>
    <col min="3719" max="3719" width="14.85546875" style="4" customWidth="1"/>
    <col min="3720" max="3720" width="11.5703125" style="4" customWidth="1"/>
    <col min="3721" max="3721" width="9.140625" style="4"/>
    <col min="3722" max="3722" width="27.42578125" style="4" customWidth="1"/>
    <col min="3723" max="3966" width="9.140625" style="4"/>
    <col min="3967" max="3967" width="50.28515625" style="4" customWidth="1"/>
    <col min="3968" max="3968" width="13.28515625" style="4" customWidth="1"/>
    <col min="3969" max="3969" width="11.5703125" style="4" customWidth="1"/>
    <col min="3970" max="3970" width="36.28515625" style="4" customWidth="1"/>
    <col min="3971" max="3971" width="16.42578125" style="4" customWidth="1"/>
    <col min="3972" max="3972" width="58.85546875" style="4" customWidth="1"/>
    <col min="3973" max="3973" width="15.28515625" style="4" customWidth="1"/>
    <col min="3974" max="3974" width="9.140625" style="4"/>
    <col min="3975" max="3975" width="14.85546875" style="4" customWidth="1"/>
    <col min="3976" max="3976" width="11.5703125" style="4" customWidth="1"/>
    <col min="3977" max="3977" width="9.140625" style="4"/>
    <col min="3978" max="3978" width="27.42578125" style="4" customWidth="1"/>
    <col min="3979" max="4222" width="9.140625" style="4"/>
    <col min="4223" max="4223" width="50.28515625" style="4" customWidth="1"/>
    <col min="4224" max="4224" width="13.28515625" style="4" customWidth="1"/>
    <col min="4225" max="4225" width="11.5703125" style="4" customWidth="1"/>
    <col min="4226" max="4226" width="36.28515625" style="4" customWidth="1"/>
    <col min="4227" max="4227" width="16.42578125" style="4" customWidth="1"/>
    <col min="4228" max="4228" width="58.85546875" style="4" customWidth="1"/>
    <col min="4229" max="4229" width="15.28515625" style="4" customWidth="1"/>
    <col min="4230" max="4230" width="9.140625" style="4"/>
    <col min="4231" max="4231" width="14.85546875" style="4" customWidth="1"/>
    <col min="4232" max="4232" width="11.5703125" style="4" customWidth="1"/>
    <col min="4233" max="4233" width="9.140625" style="4"/>
    <col min="4234" max="4234" width="27.42578125" style="4" customWidth="1"/>
    <col min="4235" max="4478" width="9.140625" style="4"/>
    <col min="4479" max="4479" width="50.28515625" style="4" customWidth="1"/>
    <col min="4480" max="4480" width="13.28515625" style="4" customWidth="1"/>
    <col min="4481" max="4481" width="11.5703125" style="4" customWidth="1"/>
    <col min="4482" max="4482" width="36.28515625" style="4" customWidth="1"/>
    <col min="4483" max="4483" width="16.42578125" style="4" customWidth="1"/>
    <col min="4484" max="4484" width="58.85546875" style="4" customWidth="1"/>
    <col min="4485" max="4485" width="15.28515625" style="4" customWidth="1"/>
    <col min="4486" max="4486" width="9.140625" style="4"/>
    <col min="4487" max="4487" width="14.85546875" style="4" customWidth="1"/>
    <col min="4488" max="4488" width="11.5703125" style="4" customWidth="1"/>
    <col min="4489" max="4489" width="9.140625" style="4"/>
    <col min="4490" max="4490" width="27.42578125" style="4" customWidth="1"/>
    <col min="4491" max="4734" width="9.140625" style="4"/>
    <col min="4735" max="4735" width="50.28515625" style="4" customWidth="1"/>
    <col min="4736" max="4736" width="13.28515625" style="4" customWidth="1"/>
    <col min="4737" max="4737" width="11.5703125" style="4" customWidth="1"/>
    <col min="4738" max="4738" width="36.28515625" style="4" customWidth="1"/>
    <col min="4739" max="4739" width="16.42578125" style="4" customWidth="1"/>
    <col min="4740" max="4740" width="58.85546875" style="4" customWidth="1"/>
    <col min="4741" max="4741" width="15.28515625" style="4" customWidth="1"/>
    <col min="4742" max="4742" width="9.140625" style="4"/>
    <col min="4743" max="4743" width="14.85546875" style="4" customWidth="1"/>
    <col min="4744" max="4744" width="11.5703125" style="4" customWidth="1"/>
    <col min="4745" max="4745" width="9.140625" style="4"/>
    <col min="4746" max="4746" width="27.42578125" style="4" customWidth="1"/>
    <col min="4747" max="4990" width="9.140625" style="4"/>
    <col min="4991" max="4991" width="50.28515625" style="4" customWidth="1"/>
    <col min="4992" max="4992" width="13.28515625" style="4" customWidth="1"/>
    <col min="4993" max="4993" width="11.5703125" style="4" customWidth="1"/>
    <col min="4994" max="4994" width="36.28515625" style="4" customWidth="1"/>
    <col min="4995" max="4995" width="16.42578125" style="4" customWidth="1"/>
    <col min="4996" max="4996" width="58.85546875" style="4" customWidth="1"/>
    <col min="4997" max="4997" width="15.28515625" style="4" customWidth="1"/>
    <col min="4998" max="4998" width="9.140625" style="4"/>
    <col min="4999" max="4999" width="14.85546875" style="4" customWidth="1"/>
    <col min="5000" max="5000" width="11.5703125" style="4" customWidth="1"/>
    <col min="5001" max="5001" width="9.140625" style="4"/>
    <col min="5002" max="5002" width="27.42578125" style="4" customWidth="1"/>
    <col min="5003" max="5246" width="9.140625" style="4"/>
    <col min="5247" max="5247" width="50.28515625" style="4" customWidth="1"/>
    <col min="5248" max="5248" width="13.28515625" style="4" customWidth="1"/>
    <col min="5249" max="5249" width="11.5703125" style="4" customWidth="1"/>
    <col min="5250" max="5250" width="36.28515625" style="4" customWidth="1"/>
    <col min="5251" max="5251" width="16.42578125" style="4" customWidth="1"/>
    <col min="5252" max="5252" width="58.85546875" style="4" customWidth="1"/>
    <col min="5253" max="5253" width="15.28515625" style="4" customWidth="1"/>
    <col min="5254" max="5254" width="9.140625" style="4"/>
    <col min="5255" max="5255" width="14.85546875" style="4" customWidth="1"/>
    <col min="5256" max="5256" width="11.5703125" style="4" customWidth="1"/>
    <col min="5257" max="5257" width="9.140625" style="4"/>
    <col min="5258" max="5258" width="27.42578125" style="4" customWidth="1"/>
    <col min="5259" max="5502" width="9.140625" style="4"/>
    <col min="5503" max="5503" width="50.28515625" style="4" customWidth="1"/>
    <col min="5504" max="5504" width="13.28515625" style="4" customWidth="1"/>
    <col min="5505" max="5505" width="11.5703125" style="4" customWidth="1"/>
    <col min="5506" max="5506" width="36.28515625" style="4" customWidth="1"/>
    <col min="5507" max="5507" width="16.42578125" style="4" customWidth="1"/>
    <col min="5508" max="5508" width="58.85546875" style="4" customWidth="1"/>
    <col min="5509" max="5509" width="15.28515625" style="4" customWidth="1"/>
    <col min="5510" max="5510" width="9.140625" style="4"/>
    <col min="5511" max="5511" width="14.85546875" style="4" customWidth="1"/>
    <col min="5512" max="5512" width="11.5703125" style="4" customWidth="1"/>
    <col min="5513" max="5513" width="9.140625" style="4"/>
    <col min="5514" max="5514" width="27.42578125" style="4" customWidth="1"/>
    <col min="5515" max="5758" width="9.140625" style="4"/>
    <col min="5759" max="5759" width="50.28515625" style="4" customWidth="1"/>
    <col min="5760" max="5760" width="13.28515625" style="4" customWidth="1"/>
    <col min="5761" max="5761" width="11.5703125" style="4" customWidth="1"/>
    <col min="5762" max="5762" width="36.28515625" style="4" customWidth="1"/>
    <col min="5763" max="5763" width="16.42578125" style="4" customWidth="1"/>
    <col min="5764" max="5764" width="58.85546875" style="4" customWidth="1"/>
    <col min="5765" max="5765" width="15.28515625" style="4" customWidth="1"/>
    <col min="5766" max="5766" width="9.140625" style="4"/>
    <col min="5767" max="5767" width="14.85546875" style="4" customWidth="1"/>
    <col min="5768" max="5768" width="11.5703125" style="4" customWidth="1"/>
    <col min="5769" max="5769" width="9.140625" style="4"/>
    <col min="5770" max="5770" width="27.42578125" style="4" customWidth="1"/>
    <col min="5771" max="6014" width="9.140625" style="4"/>
    <col min="6015" max="6015" width="50.28515625" style="4" customWidth="1"/>
    <col min="6016" max="6016" width="13.28515625" style="4" customWidth="1"/>
    <col min="6017" max="6017" width="11.5703125" style="4" customWidth="1"/>
    <col min="6018" max="6018" width="36.28515625" style="4" customWidth="1"/>
    <col min="6019" max="6019" width="16.42578125" style="4" customWidth="1"/>
    <col min="6020" max="6020" width="58.85546875" style="4" customWidth="1"/>
    <col min="6021" max="6021" width="15.28515625" style="4" customWidth="1"/>
    <col min="6022" max="6022" width="9.140625" style="4"/>
    <col min="6023" max="6023" width="14.85546875" style="4" customWidth="1"/>
    <col min="6024" max="6024" width="11.5703125" style="4" customWidth="1"/>
    <col min="6025" max="6025" width="9.140625" style="4"/>
    <col min="6026" max="6026" width="27.42578125" style="4" customWidth="1"/>
    <col min="6027" max="6270" width="9.140625" style="4"/>
    <col min="6271" max="6271" width="50.28515625" style="4" customWidth="1"/>
    <col min="6272" max="6272" width="13.28515625" style="4" customWidth="1"/>
    <col min="6273" max="6273" width="11.5703125" style="4" customWidth="1"/>
    <col min="6274" max="6274" width="36.28515625" style="4" customWidth="1"/>
    <col min="6275" max="6275" width="16.42578125" style="4" customWidth="1"/>
    <col min="6276" max="6276" width="58.85546875" style="4" customWidth="1"/>
    <col min="6277" max="6277" width="15.28515625" style="4" customWidth="1"/>
    <col min="6278" max="6278" width="9.140625" style="4"/>
    <col min="6279" max="6279" width="14.85546875" style="4" customWidth="1"/>
    <col min="6280" max="6280" width="11.5703125" style="4" customWidth="1"/>
    <col min="6281" max="6281" width="9.140625" style="4"/>
    <col min="6282" max="6282" width="27.42578125" style="4" customWidth="1"/>
    <col min="6283" max="6526" width="9.140625" style="4"/>
    <col min="6527" max="6527" width="50.28515625" style="4" customWidth="1"/>
    <col min="6528" max="6528" width="13.28515625" style="4" customWidth="1"/>
    <col min="6529" max="6529" width="11.5703125" style="4" customWidth="1"/>
    <col min="6530" max="6530" width="36.28515625" style="4" customWidth="1"/>
    <col min="6531" max="6531" width="16.42578125" style="4" customWidth="1"/>
    <col min="6532" max="6532" width="58.85546875" style="4" customWidth="1"/>
    <col min="6533" max="6533" width="15.28515625" style="4" customWidth="1"/>
    <col min="6534" max="6534" width="9.140625" style="4"/>
    <col min="6535" max="6535" width="14.85546875" style="4" customWidth="1"/>
    <col min="6536" max="6536" width="11.5703125" style="4" customWidth="1"/>
    <col min="6537" max="6537" width="9.140625" style="4"/>
    <col min="6538" max="6538" width="27.42578125" style="4" customWidth="1"/>
    <col min="6539" max="6782" width="9.140625" style="4"/>
    <col min="6783" max="6783" width="50.28515625" style="4" customWidth="1"/>
    <col min="6784" max="6784" width="13.28515625" style="4" customWidth="1"/>
    <col min="6785" max="6785" width="11.5703125" style="4" customWidth="1"/>
    <col min="6786" max="6786" width="36.28515625" style="4" customWidth="1"/>
    <col min="6787" max="6787" width="16.42578125" style="4" customWidth="1"/>
    <col min="6788" max="6788" width="58.85546875" style="4" customWidth="1"/>
    <col min="6789" max="6789" width="15.28515625" style="4" customWidth="1"/>
    <col min="6790" max="6790" width="9.140625" style="4"/>
    <col min="6791" max="6791" width="14.85546875" style="4" customWidth="1"/>
    <col min="6792" max="6792" width="11.5703125" style="4" customWidth="1"/>
    <col min="6793" max="6793" width="9.140625" style="4"/>
    <col min="6794" max="6794" width="27.42578125" style="4" customWidth="1"/>
    <col min="6795" max="7038" width="9.140625" style="4"/>
    <col min="7039" max="7039" width="50.28515625" style="4" customWidth="1"/>
    <col min="7040" max="7040" width="13.28515625" style="4" customWidth="1"/>
    <col min="7041" max="7041" width="11.5703125" style="4" customWidth="1"/>
    <col min="7042" max="7042" width="36.28515625" style="4" customWidth="1"/>
    <col min="7043" max="7043" width="16.42578125" style="4" customWidth="1"/>
    <col min="7044" max="7044" width="58.85546875" style="4" customWidth="1"/>
    <col min="7045" max="7045" width="15.28515625" style="4" customWidth="1"/>
    <col min="7046" max="7046" width="9.140625" style="4"/>
    <col min="7047" max="7047" width="14.85546875" style="4" customWidth="1"/>
    <col min="7048" max="7048" width="11.5703125" style="4" customWidth="1"/>
    <col min="7049" max="7049" width="9.140625" style="4"/>
    <col min="7050" max="7050" width="27.42578125" style="4" customWidth="1"/>
    <col min="7051" max="7294" width="9.140625" style="4"/>
    <col min="7295" max="7295" width="50.28515625" style="4" customWidth="1"/>
    <col min="7296" max="7296" width="13.28515625" style="4" customWidth="1"/>
    <col min="7297" max="7297" width="11.5703125" style="4" customWidth="1"/>
    <col min="7298" max="7298" width="36.28515625" style="4" customWidth="1"/>
    <col min="7299" max="7299" width="16.42578125" style="4" customWidth="1"/>
    <col min="7300" max="7300" width="58.85546875" style="4" customWidth="1"/>
    <col min="7301" max="7301" width="15.28515625" style="4" customWidth="1"/>
    <col min="7302" max="7302" width="9.140625" style="4"/>
    <col min="7303" max="7303" width="14.85546875" style="4" customWidth="1"/>
    <col min="7304" max="7304" width="11.5703125" style="4" customWidth="1"/>
    <col min="7305" max="7305" width="9.140625" style="4"/>
    <col min="7306" max="7306" width="27.42578125" style="4" customWidth="1"/>
    <col min="7307" max="7550" width="9.140625" style="4"/>
    <col min="7551" max="7551" width="50.28515625" style="4" customWidth="1"/>
    <col min="7552" max="7552" width="13.28515625" style="4" customWidth="1"/>
    <col min="7553" max="7553" width="11.5703125" style="4" customWidth="1"/>
    <col min="7554" max="7554" width="36.28515625" style="4" customWidth="1"/>
    <col min="7555" max="7555" width="16.42578125" style="4" customWidth="1"/>
    <col min="7556" max="7556" width="58.85546875" style="4" customWidth="1"/>
    <col min="7557" max="7557" width="15.28515625" style="4" customWidth="1"/>
    <col min="7558" max="7558" width="9.140625" style="4"/>
    <col min="7559" max="7559" width="14.85546875" style="4" customWidth="1"/>
    <col min="7560" max="7560" width="11.5703125" style="4" customWidth="1"/>
    <col min="7561" max="7561" width="9.140625" style="4"/>
    <col min="7562" max="7562" width="27.42578125" style="4" customWidth="1"/>
    <col min="7563" max="7806" width="9.140625" style="4"/>
    <col min="7807" max="7807" width="50.28515625" style="4" customWidth="1"/>
    <col min="7808" max="7808" width="13.28515625" style="4" customWidth="1"/>
    <col min="7809" max="7809" width="11.5703125" style="4" customWidth="1"/>
    <col min="7810" max="7810" width="36.28515625" style="4" customWidth="1"/>
    <col min="7811" max="7811" width="16.42578125" style="4" customWidth="1"/>
    <col min="7812" max="7812" width="58.85546875" style="4" customWidth="1"/>
    <col min="7813" max="7813" width="15.28515625" style="4" customWidth="1"/>
    <col min="7814" max="7814" width="9.140625" style="4"/>
    <col min="7815" max="7815" width="14.85546875" style="4" customWidth="1"/>
    <col min="7816" max="7816" width="11.5703125" style="4" customWidth="1"/>
    <col min="7817" max="7817" width="9.140625" style="4"/>
    <col min="7818" max="7818" width="27.42578125" style="4" customWidth="1"/>
    <col min="7819" max="8062" width="9.140625" style="4"/>
    <col min="8063" max="8063" width="50.28515625" style="4" customWidth="1"/>
    <col min="8064" max="8064" width="13.28515625" style="4" customWidth="1"/>
    <col min="8065" max="8065" width="11.5703125" style="4" customWidth="1"/>
    <col min="8066" max="8066" width="36.28515625" style="4" customWidth="1"/>
    <col min="8067" max="8067" width="16.42578125" style="4" customWidth="1"/>
    <col min="8068" max="8068" width="58.85546875" style="4" customWidth="1"/>
    <col min="8069" max="8069" width="15.28515625" style="4" customWidth="1"/>
    <col min="8070" max="8070" width="9.140625" style="4"/>
    <col min="8071" max="8071" width="14.85546875" style="4" customWidth="1"/>
    <col min="8072" max="8072" width="11.5703125" style="4" customWidth="1"/>
    <col min="8073" max="8073" width="9.140625" style="4"/>
    <col min="8074" max="8074" width="27.42578125" style="4" customWidth="1"/>
    <col min="8075" max="8318" width="9.140625" style="4"/>
    <col min="8319" max="8319" width="50.28515625" style="4" customWidth="1"/>
    <col min="8320" max="8320" width="13.28515625" style="4" customWidth="1"/>
    <col min="8321" max="8321" width="11.5703125" style="4" customWidth="1"/>
    <col min="8322" max="8322" width="36.28515625" style="4" customWidth="1"/>
    <col min="8323" max="8323" width="16.42578125" style="4" customWidth="1"/>
    <col min="8324" max="8324" width="58.85546875" style="4" customWidth="1"/>
    <col min="8325" max="8325" width="15.28515625" style="4" customWidth="1"/>
    <col min="8326" max="8326" width="9.140625" style="4"/>
    <col min="8327" max="8327" width="14.85546875" style="4" customWidth="1"/>
    <col min="8328" max="8328" width="11.5703125" style="4" customWidth="1"/>
    <col min="8329" max="8329" width="9.140625" style="4"/>
    <col min="8330" max="8330" width="27.42578125" style="4" customWidth="1"/>
    <col min="8331" max="8574" width="9.140625" style="4"/>
    <col min="8575" max="8575" width="50.28515625" style="4" customWidth="1"/>
    <col min="8576" max="8576" width="13.28515625" style="4" customWidth="1"/>
    <col min="8577" max="8577" width="11.5703125" style="4" customWidth="1"/>
    <col min="8578" max="8578" width="36.28515625" style="4" customWidth="1"/>
    <col min="8579" max="8579" width="16.42578125" style="4" customWidth="1"/>
    <col min="8580" max="8580" width="58.85546875" style="4" customWidth="1"/>
    <col min="8581" max="8581" width="15.28515625" style="4" customWidth="1"/>
    <col min="8582" max="8582" width="9.140625" style="4"/>
    <col min="8583" max="8583" width="14.85546875" style="4" customWidth="1"/>
    <col min="8584" max="8584" width="11.5703125" style="4" customWidth="1"/>
    <col min="8585" max="8585" width="9.140625" style="4"/>
    <col min="8586" max="8586" width="27.42578125" style="4" customWidth="1"/>
    <col min="8587" max="8830" width="9.140625" style="4"/>
    <col min="8831" max="8831" width="50.28515625" style="4" customWidth="1"/>
    <col min="8832" max="8832" width="13.28515625" style="4" customWidth="1"/>
    <col min="8833" max="8833" width="11.5703125" style="4" customWidth="1"/>
    <col min="8834" max="8834" width="36.28515625" style="4" customWidth="1"/>
    <col min="8835" max="8835" width="16.42578125" style="4" customWidth="1"/>
    <col min="8836" max="8836" width="58.85546875" style="4" customWidth="1"/>
    <col min="8837" max="8837" width="15.28515625" style="4" customWidth="1"/>
    <col min="8838" max="8838" width="9.140625" style="4"/>
    <col min="8839" max="8839" width="14.85546875" style="4" customWidth="1"/>
    <col min="8840" max="8840" width="11.5703125" style="4" customWidth="1"/>
    <col min="8841" max="8841" width="9.140625" style="4"/>
    <col min="8842" max="8842" width="27.42578125" style="4" customWidth="1"/>
    <col min="8843" max="9086" width="9.140625" style="4"/>
    <col min="9087" max="9087" width="50.28515625" style="4" customWidth="1"/>
    <col min="9088" max="9088" width="13.28515625" style="4" customWidth="1"/>
    <col min="9089" max="9089" width="11.5703125" style="4" customWidth="1"/>
    <col min="9090" max="9090" width="36.28515625" style="4" customWidth="1"/>
    <col min="9091" max="9091" width="16.42578125" style="4" customWidth="1"/>
    <col min="9092" max="9092" width="58.85546875" style="4" customWidth="1"/>
    <col min="9093" max="9093" width="15.28515625" style="4" customWidth="1"/>
    <col min="9094" max="9094" width="9.140625" style="4"/>
    <col min="9095" max="9095" width="14.85546875" style="4" customWidth="1"/>
    <col min="9096" max="9096" width="11.5703125" style="4" customWidth="1"/>
    <col min="9097" max="9097" width="9.140625" style="4"/>
    <col min="9098" max="9098" width="27.42578125" style="4" customWidth="1"/>
    <col min="9099" max="9342" width="9.140625" style="4"/>
    <col min="9343" max="9343" width="50.28515625" style="4" customWidth="1"/>
    <col min="9344" max="9344" width="13.28515625" style="4" customWidth="1"/>
    <col min="9345" max="9345" width="11.5703125" style="4" customWidth="1"/>
    <col min="9346" max="9346" width="36.28515625" style="4" customWidth="1"/>
    <col min="9347" max="9347" width="16.42578125" style="4" customWidth="1"/>
    <col min="9348" max="9348" width="58.85546875" style="4" customWidth="1"/>
    <col min="9349" max="9349" width="15.28515625" style="4" customWidth="1"/>
    <col min="9350" max="9350" width="9.140625" style="4"/>
    <col min="9351" max="9351" width="14.85546875" style="4" customWidth="1"/>
    <col min="9352" max="9352" width="11.5703125" style="4" customWidth="1"/>
    <col min="9353" max="9353" width="9.140625" style="4"/>
    <col min="9354" max="9354" width="27.42578125" style="4" customWidth="1"/>
    <col min="9355" max="9598" width="9.140625" style="4"/>
    <col min="9599" max="9599" width="50.28515625" style="4" customWidth="1"/>
    <col min="9600" max="9600" width="13.28515625" style="4" customWidth="1"/>
    <col min="9601" max="9601" width="11.5703125" style="4" customWidth="1"/>
    <col min="9602" max="9602" width="36.28515625" style="4" customWidth="1"/>
    <col min="9603" max="9603" width="16.42578125" style="4" customWidth="1"/>
    <col min="9604" max="9604" width="58.85546875" style="4" customWidth="1"/>
    <col min="9605" max="9605" width="15.28515625" style="4" customWidth="1"/>
    <col min="9606" max="9606" width="9.140625" style="4"/>
    <col min="9607" max="9607" width="14.85546875" style="4" customWidth="1"/>
    <col min="9608" max="9608" width="11.5703125" style="4" customWidth="1"/>
    <col min="9609" max="9609" width="9.140625" style="4"/>
    <col min="9610" max="9610" width="27.42578125" style="4" customWidth="1"/>
    <col min="9611" max="9854" width="9.140625" style="4"/>
    <col min="9855" max="9855" width="50.28515625" style="4" customWidth="1"/>
    <col min="9856" max="9856" width="13.28515625" style="4" customWidth="1"/>
    <col min="9857" max="9857" width="11.5703125" style="4" customWidth="1"/>
    <col min="9858" max="9858" width="36.28515625" style="4" customWidth="1"/>
    <col min="9859" max="9859" width="16.42578125" style="4" customWidth="1"/>
    <col min="9860" max="9860" width="58.85546875" style="4" customWidth="1"/>
    <col min="9861" max="9861" width="15.28515625" style="4" customWidth="1"/>
    <col min="9862" max="9862" width="9.140625" style="4"/>
    <col min="9863" max="9863" width="14.85546875" style="4" customWidth="1"/>
    <col min="9864" max="9864" width="11.5703125" style="4" customWidth="1"/>
    <col min="9865" max="9865" width="9.140625" style="4"/>
    <col min="9866" max="9866" width="27.42578125" style="4" customWidth="1"/>
    <col min="9867" max="10110" width="9.140625" style="4"/>
    <col min="10111" max="10111" width="50.28515625" style="4" customWidth="1"/>
    <col min="10112" max="10112" width="13.28515625" style="4" customWidth="1"/>
    <col min="10113" max="10113" width="11.5703125" style="4" customWidth="1"/>
    <col min="10114" max="10114" width="36.28515625" style="4" customWidth="1"/>
    <col min="10115" max="10115" width="16.42578125" style="4" customWidth="1"/>
    <col min="10116" max="10116" width="58.85546875" style="4" customWidth="1"/>
    <col min="10117" max="10117" width="15.28515625" style="4" customWidth="1"/>
    <col min="10118" max="10118" width="9.140625" style="4"/>
    <col min="10119" max="10119" width="14.85546875" style="4" customWidth="1"/>
    <col min="10120" max="10120" width="11.5703125" style="4" customWidth="1"/>
    <col min="10121" max="10121" width="9.140625" style="4"/>
    <col min="10122" max="10122" width="27.42578125" style="4" customWidth="1"/>
    <col min="10123" max="10366" width="9.140625" style="4"/>
    <col min="10367" max="10367" width="50.28515625" style="4" customWidth="1"/>
    <col min="10368" max="10368" width="13.28515625" style="4" customWidth="1"/>
    <col min="10369" max="10369" width="11.5703125" style="4" customWidth="1"/>
    <col min="10370" max="10370" width="36.28515625" style="4" customWidth="1"/>
    <col min="10371" max="10371" width="16.42578125" style="4" customWidth="1"/>
    <col min="10372" max="10372" width="58.85546875" style="4" customWidth="1"/>
    <col min="10373" max="10373" width="15.28515625" style="4" customWidth="1"/>
    <col min="10374" max="10374" width="9.140625" style="4"/>
    <col min="10375" max="10375" width="14.85546875" style="4" customWidth="1"/>
    <col min="10376" max="10376" width="11.5703125" style="4" customWidth="1"/>
    <col min="10377" max="10377" width="9.140625" style="4"/>
    <col min="10378" max="10378" width="27.42578125" style="4" customWidth="1"/>
    <col min="10379" max="10622" width="9.140625" style="4"/>
    <col min="10623" max="10623" width="50.28515625" style="4" customWidth="1"/>
    <col min="10624" max="10624" width="13.28515625" style="4" customWidth="1"/>
    <col min="10625" max="10625" width="11.5703125" style="4" customWidth="1"/>
    <col min="10626" max="10626" width="36.28515625" style="4" customWidth="1"/>
    <col min="10627" max="10627" width="16.42578125" style="4" customWidth="1"/>
    <col min="10628" max="10628" width="58.85546875" style="4" customWidth="1"/>
    <col min="10629" max="10629" width="15.28515625" style="4" customWidth="1"/>
    <col min="10630" max="10630" width="9.140625" style="4"/>
    <col min="10631" max="10631" width="14.85546875" style="4" customWidth="1"/>
    <col min="10632" max="10632" width="11.5703125" style="4" customWidth="1"/>
    <col min="10633" max="10633" width="9.140625" style="4"/>
    <col min="10634" max="10634" width="27.42578125" style="4" customWidth="1"/>
    <col min="10635" max="10878" width="9.140625" style="4"/>
    <col min="10879" max="10879" width="50.28515625" style="4" customWidth="1"/>
    <col min="10880" max="10880" width="13.28515625" style="4" customWidth="1"/>
    <col min="10881" max="10881" width="11.5703125" style="4" customWidth="1"/>
    <col min="10882" max="10882" width="36.28515625" style="4" customWidth="1"/>
    <col min="10883" max="10883" width="16.42578125" style="4" customWidth="1"/>
    <col min="10884" max="10884" width="58.85546875" style="4" customWidth="1"/>
    <col min="10885" max="10885" width="15.28515625" style="4" customWidth="1"/>
    <col min="10886" max="10886" width="9.140625" style="4"/>
    <col min="10887" max="10887" width="14.85546875" style="4" customWidth="1"/>
    <col min="10888" max="10888" width="11.5703125" style="4" customWidth="1"/>
    <col min="10889" max="10889" width="9.140625" style="4"/>
    <col min="10890" max="10890" width="27.42578125" style="4" customWidth="1"/>
    <col min="10891" max="11134" width="9.140625" style="4"/>
    <col min="11135" max="11135" width="50.28515625" style="4" customWidth="1"/>
    <col min="11136" max="11136" width="13.28515625" style="4" customWidth="1"/>
    <col min="11137" max="11137" width="11.5703125" style="4" customWidth="1"/>
    <col min="11138" max="11138" width="36.28515625" style="4" customWidth="1"/>
    <col min="11139" max="11139" width="16.42578125" style="4" customWidth="1"/>
    <col min="11140" max="11140" width="58.85546875" style="4" customWidth="1"/>
    <col min="11141" max="11141" width="15.28515625" style="4" customWidth="1"/>
    <col min="11142" max="11142" width="9.140625" style="4"/>
    <col min="11143" max="11143" width="14.85546875" style="4" customWidth="1"/>
    <col min="11144" max="11144" width="11.5703125" style="4" customWidth="1"/>
    <col min="11145" max="11145" width="9.140625" style="4"/>
    <col min="11146" max="11146" width="27.42578125" style="4" customWidth="1"/>
    <col min="11147" max="11390" width="9.140625" style="4"/>
    <col min="11391" max="11391" width="50.28515625" style="4" customWidth="1"/>
    <col min="11392" max="11392" width="13.28515625" style="4" customWidth="1"/>
    <col min="11393" max="11393" width="11.5703125" style="4" customWidth="1"/>
    <col min="11394" max="11394" width="36.28515625" style="4" customWidth="1"/>
    <col min="11395" max="11395" width="16.42578125" style="4" customWidth="1"/>
    <col min="11396" max="11396" width="58.85546875" style="4" customWidth="1"/>
    <col min="11397" max="11397" width="15.28515625" style="4" customWidth="1"/>
    <col min="11398" max="11398" width="9.140625" style="4"/>
    <col min="11399" max="11399" width="14.85546875" style="4" customWidth="1"/>
    <col min="11400" max="11400" width="11.5703125" style="4" customWidth="1"/>
    <col min="11401" max="11401" width="9.140625" style="4"/>
    <col min="11402" max="11402" width="27.42578125" style="4" customWidth="1"/>
    <col min="11403" max="11646" width="9.140625" style="4"/>
    <col min="11647" max="11647" width="50.28515625" style="4" customWidth="1"/>
    <col min="11648" max="11648" width="13.28515625" style="4" customWidth="1"/>
    <col min="11649" max="11649" width="11.5703125" style="4" customWidth="1"/>
    <col min="11650" max="11650" width="36.28515625" style="4" customWidth="1"/>
    <col min="11651" max="11651" width="16.42578125" style="4" customWidth="1"/>
    <col min="11652" max="11652" width="58.85546875" style="4" customWidth="1"/>
    <col min="11653" max="11653" width="15.28515625" style="4" customWidth="1"/>
    <col min="11654" max="11654" width="9.140625" style="4"/>
    <col min="11655" max="11655" width="14.85546875" style="4" customWidth="1"/>
    <col min="11656" max="11656" width="11.5703125" style="4" customWidth="1"/>
    <col min="11657" max="11657" width="9.140625" style="4"/>
    <col min="11658" max="11658" width="27.42578125" style="4" customWidth="1"/>
    <col min="11659" max="11902" width="9.140625" style="4"/>
    <col min="11903" max="11903" width="50.28515625" style="4" customWidth="1"/>
    <col min="11904" max="11904" width="13.28515625" style="4" customWidth="1"/>
    <col min="11905" max="11905" width="11.5703125" style="4" customWidth="1"/>
    <col min="11906" max="11906" width="36.28515625" style="4" customWidth="1"/>
    <col min="11907" max="11907" width="16.42578125" style="4" customWidth="1"/>
    <col min="11908" max="11908" width="58.85546875" style="4" customWidth="1"/>
    <col min="11909" max="11909" width="15.28515625" style="4" customWidth="1"/>
    <col min="11910" max="11910" width="9.140625" style="4"/>
    <col min="11911" max="11911" width="14.85546875" style="4" customWidth="1"/>
    <col min="11912" max="11912" width="11.5703125" style="4" customWidth="1"/>
    <col min="11913" max="11913" width="9.140625" style="4"/>
    <col min="11914" max="11914" width="27.42578125" style="4" customWidth="1"/>
    <col min="11915" max="12158" width="9.140625" style="4"/>
    <col min="12159" max="12159" width="50.28515625" style="4" customWidth="1"/>
    <col min="12160" max="12160" width="13.28515625" style="4" customWidth="1"/>
    <col min="12161" max="12161" width="11.5703125" style="4" customWidth="1"/>
    <col min="12162" max="12162" width="36.28515625" style="4" customWidth="1"/>
    <col min="12163" max="12163" width="16.42578125" style="4" customWidth="1"/>
    <col min="12164" max="12164" width="58.85546875" style="4" customWidth="1"/>
    <col min="12165" max="12165" width="15.28515625" style="4" customWidth="1"/>
    <col min="12166" max="12166" width="9.140625" style="4"/>
    <col min="12167" max="12167" width="14.85546875" style="4" customWidth="1"/>
    <col min="12168" max="12168" width="11.5703125" style="4" customWidth="1"/>
    <col min="12169" max="12169" width="9.140625" style="4"/>
    <col min="12170" max="12170" width="27.42578125" style="4" customWidth="1"/>
    <col min="12171" max="12414" width="9.140625" style="4"/>
    <col min="12415" max="12415" width="50.28515625" style="4" customWidth="1"/>
    <col min="12416" max="12416" width="13.28515625" style="4" customWidth="1"/>
    <col min="12417" max="12417" width="11.5703125" style="4" customWidth="1"/>
    <col min="12418" max="12418" width="36.28515625" style="4" customWidth="1"/>
    <col min="12419" max="12419" width="16.42578125" style="4" customWidth="1"/>
    <col min="12420" max="12420" width="58.85546875" style="4" customWidth="1"/>
    <col min="12421" max="12421" width="15.28515625" style="4" customWidth="1"/>
    <col min="12422" max="12422" width="9.140625" style="4"/>
    <col min="12423" max="12423" width="14.85546875" style="4" customWidth="1"/>
    <col min="12424" max="12424" width="11.5703125" style="4" customWidth="1"/>
    <col min="12425" max="12425" width="9.140625" style="4"/>
    <col min="12426" max="12426" width="27.42578125" style="4" customWidth="1"/>
    <col min="12427" max="12670" width="9.140625" style="4"/>
    <col min="12671" max="12671" width="50.28515625" style="4" customWidth="1"/>
    <col min="12672" max="12672" width="13.28515625" style="4" customWidth="1"/>
    <col min="12673" max="12673" width="11.5703125" style="4" customWidth="1"/>
    <col min="12674" max="12674" width="36.28515625" style="4" customWidth="1"/>
    <col min="12675" max="12675" width="16.42578125" style="4" customWidth="1"/>
    <col min="12676" max="12676" width="58.85546875" style="4" customWidth="1"/>
    <col min="12677" max="12677" width="15.28515625" style="4" customWidth="1"/>
    <col min="12678" max="12678" width="9.140625" style="4"/>
    <col min="12679" max="12679" width="14.85546875" style="4" customWidth="1"/>
    <col min="12680" max="12680" width="11.5703125" style="4" customWidth="1"/>
    <col min="12681" max="12681" width="9.140625" style="4"/>
    <col min="12682" max="12682" width="27.42578125" style="4" customWidth="1"/>
    <col min="12683" max="12926" width="9.140625" style="4"/>
    <col min="12927" max="12927" width="50.28515625" style="4" customWidth="1"/>
    <col min="12928" max="12928" width="13.28515625" style="4" customWidth="1"/>
    <col min="12929" max="12929" width="11.5703125" style="4" customWidth="1"/>
    <col min="12930" max="12930" width="36.28515625" style="4" customWidth="1"/>
    <col min="12931" max="12931" width="16.42578125" style="4" customWidth="1"/>
    <col min="12932" max="12932" width="58.85546875" style="4" customWidth="1"/>
    <col min="12933" max="12933" width="15.28515625" style="4" customWidth="1"/>
    <col min="12934" max="12934" width="9.140625" style="4"/>
    <col min="12935" max="12935" width="14.85546875" style="4" customWidth="1"/>
    <col min="12936" max="12936" width="11.5703125" style="4" customWidth="1"/>
    <col min="12937" max="12937" width="9.140625" style="4"/>
    <col min="12938" max="12938" width="27.42578125" style="4" customWidth="1"/>
    <col min="12939" max="13182" width="9.140625" style="4"/>
    <col min="13183" max="13183" width="50.28515625" style="4" customWidth="1"/>
    <col min="13184" max="13184" width="13.28515625" style="4" customWidth="1"/>
    <col min="13185" max="13185" width="11.5703125" style="4" customWidth="1"/>
    <col min="13186" max="13186" width="36.28515625" style="4" customWidth="1"/>
    <col min="13187" max="13187" width="16.42578125" style="4" customWidth="1"/>
    <col min="13188" max="13188" width="58.85546875" style="4" customWidth="1"/>
    <col min="13189" max="13189" width="15.28515625" style="4" customWidth="1"/>
    <col min="13190" max="13190" width="9.140625" style="4"/>
    <col min="13191" max="13191" width="14.85546875" style="4" customWidth="1"/>
    <col min="13192" max="13192" width="11.5703125" style="4" customWidth="1"/>
    <col min="13193" max="13193" width="9.140625" style="4"/>
    <col min="13194" max="13194" width="27.42578125" style="4" customWidth="1"/>
    <col min="13195" max="13438" width="9.140625" style="4"/>
    <col min="13439" max="13439" width="50.28515625" style="4" customWidth="1"/>
    <col min="13440" max="13440" width="13.28515625" style="4" customWidth="1"/>
    <col min="13441" max="13441" width="11.5703125" style="4" customWidth="1"/>
    <col min="13442" max="13442" width="36.28515625" style="4" customWidth="1"/>
    <col min="13443" max="13443" width="16.42578125" style="4" customWidth="1"/>
    <col min="13444" max="13444" width="58.85546875" style="4" customWidth="1"/>
    <col min="13445" max="13445" width="15.28515625" style="4" customWidth="1"/>
    <col min="13446" max="13446" width="9.140625" style="4"/>
    <col min="13447" max="13447" width="14.85546875" style="4" customWidth="1"/>
    <col min="13448" max="13448" width="11.5703125" style="4" customWidth="1"/>
    <col min="13449" max="13449" width="9.140625" style="4"/>
    <col min="13450" max="13450" width="27.42578125" style="4" customWidth="1"/>
    <col min="13451" max="13694" width="9.140625" style="4"/>
    <col min="13695" max="13695" width="50.28515625" style="4" customWidth="1"/>
    <col min="13696" max="13696" width="13.28515625" style="4" customWidth="1"/>
    <col min="13697" max="13697" width="11.5703125" style="4" customWidth="1"/>
    <col min="13698" max="13698" width="36.28515625" style="4" customWidth="1"/>
    <col min="13699" max="13699" width="16.42578125" style="4" customWidth="1"/>
    <col min="13700" max="13700" width="58.85546875" style="4" customWidth="1"/>
    <col min="13701" max="13701" width="15.28515625" style="4" customWidth="1"/>
    <col min="13702" max="13702" width="9.140625" style="4"/>
    <col min="13703" max="13703" width="14.85546875" style="4" customWidth="1"/>
    <col min="13704" max="13704" width="11.5703125" style="4" customWidth="1"/>
    <col min="13705" max="13705" width="9.140625" style="4"/>
    <col min="13706" max="13706" width="27.42578125" style="4" customWidth="1"/>
    <col min="13707" max="13950" width="9.140625" style="4"/>
    <col min="13951" max="13951" width="50.28515625" style="4" customWidth="1"/>
    <col min="13952" max="13952" width="13.28515625" style="4" customWidth="1"/>
    <col min="13953" max="13953" width="11.5703125" style="4" customWidth="1"/>
    <col min="13954" max="13954" width="36.28515625" style="4" customWidth="1"/>
    <col min="13955" max="13955" width="16.42578125" style="4" customWidth="1"/>
    <col min="13956" max="13956" width="58.85546875" style="4" customWidth="1"/>
    <col min="13957" max="13957" width="15.28515625" style="4" customWidth="1"/>
    <col min="13958" max="13958" width="9.140625" style="4"/>
    <col min="13959" max="13959" width="14.85546875" style="4" customWidth="1"/>
    <col min="13960" max="13960" width="11.5703125" style="4" customWidth="1"/>
    <col min="13961" max="13961" width="9.140625" style="4"/>
    <col min="13962" max="13962" width="27.42578125" style="4" customWidth="1"/>
    <col min="13963" max="14206" width="9.140625" style="4"/>
    <col min="14207" max="14207" width="50.28515625" style="4" customWidth="1"/>
    <col min="14208" max="14208" width="13.28515625" style="4" customWidth="1"/>
    <col min="14209" max="14209" width="11.5703125" style="4" customWidth="1"/>
    <col min="14210" max="14210" width="36.28515625" style="4" customWidth="1"/>
    <col min="14211" max="14211" width="16.42578125" style="4" customWidth="1"/>
    <col min="14212" max="14212" width="58.85546875" style="4" customWidth="1"/>
    <col min="14213" max="14213" width="15.28515625" style="4" customWidth="1"/>
    <col min="14214" max="14214" width="9.140625" style="4"/>
    <col min="14215" max="14215" width="14.85546875" style="4" customWidth="1"/>
    <col min="14216" max="14216" width="11.5703125" style="4" customWidth="1"/>
    <col min="14217" max="14217" width="9.140625" style="4"/>
    <col min="14218" max="14218" width="27.42578125" style="4" customWidth="1"/>
    <col min="14219" max="14462" width="9.140625" style="4"/>
    <col min="14463" max="14463" width="50.28515625" style="4" customWidth="1"/>
    <col min="14464" max="14464" width="13.28515625" style="4" customWidth="1"/>
    <col min="14465" max="14465" width="11.5703125" style="4" customWidth="1"/>
    <col min="14466" max="14466" width="36.28515625" style="4" customWidth="1"/>
    <col min="14467" max="14467" width="16.42578125" style="4" customWidth="1"/>
    <col min="14468" max="14468" width="58.85546875" style="4" customWidth="1"/>
    <col min="14469" max="14469" width="15.28515625" style="4" customWidth="1"/>
    <col min="14470" max="14470" width="9.140625" style="4"/>
    <col min="14471" max="14471" width="14.85546875" style="4" customWidth="1"/>
    <col min="14472" max="14472" width="11.5703125" style="4" customWidth="1"/>
    <col min="14473" max="14473" width="9.140625" style="4"/>
    <col min="14474" max="14474" width="27.42578125" style="4" customWidth="1"/>
    <col min="14475" max="14718" width="9.140625" style="4"/>
    <col min="14719" max="14719" width="50.28515625" style="4" customWidth="1"/>
    <col min="14720" max="14720" width="13.28515625" style="4" customWidth="1"/>
    <col min="14721" max="14721" width="11.5703125" style="4" customWidth="1"/>
    <col min="14722" max="14722" width="36.28515625" style="4" customWidth="1"/>
    <col min="14723" max="14723" width="16.42578125" style="4" customWidth="1"/>
    <col min="14724" max="14724" width="58.85546875" style="4" customWidth="1"/>
    <col min="14725" max="14725" width="15.28515625" style="4" customWidth="1"/>
    <col min="14726" max="14726" width="9.140625" style="4"/>
    <col min="14727" max="14727" width="14.85546875" style="4" customWidth="1"/>
    <col min="14728" max="14728" width="11.5703125" style="4" customWidth="1"/>
    <col min="14729" max="14729" width="9.140625" style="4"/>
    <col min="14730" max="14730" width="27.42578125" style="4" customWidth="1"/>
    <col min="14731" max="14974" width="9.140625" style="4"/>
    <col min="14975" max="14975" width="50.28515625" style="4" customWidth="1"/>
    <col min="14976" max="14976" width="13.28515625" style="4" customWidth="1"/>
    <col min="14977" max="14977" width="11.5703125" style="4" customWidth="1"/>
    <col min="14978" max="14978" width="36.28515625" style="4" customWidth="1"/>
    <col min="14979" max="14979" width="16.42578125" style="4" customWidth="1"/>
    <col min="14980" max="14980" width="58.85546875" style="4" customWidth="1"/>
    <col min="14981" max="14981" width="15.28515625" style="4" customWidth="1"/>
    <col min="14982" max="14982" width="9.140625" style="4"/>
    <col min="14983" max="14983" width="14.85546875" style="4" customWidth="1"/>
    <col min="14984" max="14984" width="11.5703125" style="4" customWidth="1"/>
    <col min="14985" max="14985" width="9.140625" style="4"/>
    <col min="14986" max="14986" width="27.42578125" style="4" customWidth="1"/>
    <col min="14987" max="15230" width="9.140625" style="4"/>
    <col min="15231" max="15231" width="50.28515625" style="4" customWidth="1"/>
    <col min="15232" max="15232" width="13.28515625" style="4" customWidth="1"/>
    <col min="15233" max="15233" width="11.5703125" style="4" customWidth="1"/>
    <col min="15234" max="15234" width="36.28515625" style="4" customWidth="1"/>
    <col min="15235" max="15235" width="16.42578125" style="4" customWidth="1"/>
    <col min="15236" max="15236" width="58.85546875" style="4" customWidth="1"/>
    <col min="15237" max="15237" width="15.28515625" style="4" customWidth="1"/>
    <col min="15238" max="15238" width="9.140625" style="4"/>
    <col min="15239" max="15239" width="14.85546875" style="4" customWidth="1"/>
    <col min="15240" max="15240" width="11.5703125" style="4" customWidth="1"/>
    <col min="15241" max="15241" width="9.140625" style="4"/>
    <col min="15242" max="15242" width="27.42578125" style="4" customWidth="1"/>
    <col min="15243" max="15486" width="9.140625" style="4"/>
    <col min="15487" max="15487" width="50.28515625" style="4" customWidth="1"/>
    <col min="15488" max="15488" width="13.28515625" style="4" customWidth="1"/>
    <col min="15489" max="15489" width="11.5703125" style="4" customWidth="1"/>
    <col min="15490" max="15490" width="36.28515625" style="4" customWidth="1"/>
    <col min="15491" max="15491" width="16.42578125" style="4" customWidth="1"/>
    <col min="15492" max="15492" width="58.85546875" style="4" customWidth="1"/>
    <col min="15493" max="15493" width="15.28515625" style="4" customWidth="1"/>
    <col min="15494" max="15494" width="9.140625" style="4"/>
    <col min="15495" max="15495" width="14.85546875" style="4" customWidth="1"/>
    <col min="15496" max="15496" width="11.5703125" style="4" customWidth="1"/>
    <col min="15497" max="15497" width="9.140625" style="4"/>
    <col min="15498" max="15498" width="27.42578125" style="4" customWidth="1"/>
    <col min="15499" max="15742" width="9.140625" style="4"/>
    <col min="15743" max="15743" width="50.28515625" style="4" customWidth="1"/>
    <col min="15744" max="15744" width="13.28515625" style="4" customWidth="1"/>
    <col min="15745" max="15745" width="11.5703125" style="4" customWidth="1"/>
    <col min="15746" max="15746" width="36.28515625" style="4" customWidth="1"/>
    <col min="15747" max="15747" width="16.42578125" style="4" customWidth="1"/>
    <col min="15748" max="15748" width="58.85546875" style="4" customWidth="1"/>
    <col min="15749" max="15749" width="15.28515625" style="4" customWidth="1"/>
    <col min="15750" max="15750" width="9.140625" style="4"/>
    <col min="15751" max="15751" width="14.85546875" style="4" customWidth="1"/>
    <col min="15752" max="15752" width="11.5703125" style="4" customWidth="1"/>
    <col min="15753" max="15753" width="9.140625" style="4"/>
    <col min="15754" max="15754" width="27.42578125" style="4" customWidth="1"/>
    <col min="15755" max="15998" width="9.140625" style="4"/>
    <col min="15999" max="15999" width="50.28515625" style="4" customWidth="1"/>
    <col min="16000" max="16000" width="13.28515625" style="4" customWidth="1"/>
    <col min="16001" max="16001" width="11.5703125" style="4" customWidth="1"/>
    <col min="16002" max="16002" width="36.28515625" style="4" customWidth="1"/>
    <col min="16003" max="16003" width="16.42578125" style="4" customWidth="1"/>
    <col min="16004" max="16004" width="58.85546875" style="4" customWidth="1"/>
    <col min="16005" max="16005" width="15.28515625" style="4" customWidth="1"/>
    <col min="16006" max="16006" width="9.140625" style="4"/>
    <col min="16007" max="16007" width="14.85546875" style="4" customWidth="1"/>
    <col min="16008" max="16008" width="11.5703125" style="4" customWidth="1"/>
    <col min="16009" max="16009" width="9.140625" style="4"/>
    <col min="16010" max="16010" width="27.42578125" style="4" customWidth="1"/>
    <col min="16011" max="16384" width="9.140625" style="4"/>
  </cols>
  <sheetData>
    <row r="1" spans="1:7" x14ac:dyDescent="0.25">
      <c r="A1" s="1" t="s">
        <v>0</v>
      </c>
      <c r="B1" s="2"/>
      <c r="C1" s="2"/>
      <c r="D1" s="2"/>
      <c r="E1" s="3"/>
      <c r="F1" s="2"/>
      <c r="G1" s="2"/>
    </row>
    <row r="2" spans="1:7" x14ac:dyDescent="0.25">
      <c r="A2" s="1" t="s">
        <v>1</v>
      </c>
      <c r="B2" s="2"/>
      <c r="C2" s="2"/>
      <c r="D2" s="2"/>
      <c r="E2" s="3"/>
      <c r="F2" s="2"/>
      <c r="G2" s="2"/>
    </row>
    <row r="3" spans="1:7" x14ac:dyDescent="0.25">
      <c r="A3" s="1" t="s">
        <v>2</v>
      </c>
      <c r="B3" s="2"/>
      <c r="C3" s="2"/>
      <c r="D3" s="2"/>
      <c r="E3" s="3"/>
      <c r="F3" s="2"/>
      <c r="G3" s="2"/>
    </row>
    <row r="4" spans="1:7" x14ac:dyDescent="0.25">
      <c r="A4" s="1"/>
      <c r="B4" s="2"/>
      <c r="C4" s="2"/>
      <c r="D4" s="2"/>
      <c r="E4" s="3"/>
      <c r="F4" s="2"/>
      <c r="G4" s="2"/>
    </row>
    <row r="5" spans="1:7" x14ac:dyDescent="0.25">
      <c r="A5" s="1"/>
      <c r="B5" s="2"/>
      <c r="C5" s="2"/>
      <c r="D5" s="2"/>
      <c r="E5" s="3"/>
      <c r="F5" s="2"/>
      <c r="G5" s="2"/>
    </row>
    <row r="7" spans="1:7" x14ac:dyDescent="0.25">
      <c r="A7" s="6" t="s">
        <v>3</v>
      </c>
      <c r="B7" s="6" t="s">
        <v>4</v>
      </c>
      <c r="C7" s="4" t="s">
        <v>4</v>
      </c>
      <c r="D7" s="4" t="s">
        <v>4</v>
      </c>
      <c r="E7" s="7" t="s">
        <v>5</v>
      </c>
      <c r="F7" s="8"/>
    </row>
    <row r="8" spans="1:7" x14ac:dyDescent="0.25">
      <c r="A8" s="6" t="s">
        <v>6</v>
      </c>
      <c r="B8" s="6" t="s">
        <v>4</v>
      </c>
      <c r="C8" s="4" t="s">
        <v>4</v>
      </c>
      <c r="D8" s="4" t="s">
        <v>4</v>
      </c>
      <c r="E8" s="7" t="s">
        <v>7</v>
      </c>
      <c r="F8" s="8" t="s">
        <v>8</v>
      </c>
    </row>
    <row r="9" spans="1:7" x14ac:dyDescent="0.25">
      <c r="A9" s="6"/>
      <c r="B9" s="6"/>
      <c r="E9" s="7"/>
      <c r="F9" s="8"/>
    </row>
    <row r="10" spans="1:7" x14ac:dyDescent="0.25">
      <c r="A10" s="6" t="s">
        <v>9</v>
      </c>
      <c r="B10" s="6"/>
      <c r="D10" s="4" t="s">
        <v>10</v>
      </c>
      <c r="E10" s="39">
        <f>56647.24-63030+6382.76</f>
        <v>0</v>
      </c>
      <c r="F10" s="9"/>
    </row>
    <row r="11" spans="1:7" x14ac:dyDescent="0.25">
      <c r="A11" s="6"/>
      <c r="B11" s="6"/>
      <c r="E11" s="7"/>
      <c r="F11" s="10"/>
    </row>
    <row r="12" spans="1:7" hidden="1" x14ac:dyDescent="0.25">
      <c r="A12" s="6" t="s">
        <v>11</v>
      </c>
    </row>
    <row r="13" spans="1:7" hidden="1" x14ac:dyDescent="0.25">
      <c r="A13" s="6" t="s">
        <v>12</v>
      </c>
    </row>
    <row r="14" spans="1:7" hidden="1" x14ac:dyDescent="0.25">
      <c r="A14" s="6" t="s">
        <v>13</v>
      </c>
      <c r="B14" s="6" t="s">
        <v>14</v>
      </c>
      <c r="D14" s="4" t="s">
        <v>15</v>
      </c>
      <c r="E14" s="5">
        <v>0</v>
      </c>
      <c r="F14" s="4" t="s">
        <v>16</v>
      </c>
    </row>
    <row r="15" spans="1:7" hidden="1" x14ac:dyDescent="0.25">
      <c r="A15" s="6" t="s">
        <v>13</v>
      </c>
      <c r="B15" s="6" t="s">
        <v>17</v>
      </c>
      <c r="D15" s="4" t="s">
        <v>18</v>
      </c>
      <c r="E15" s="5">
        <f>E14*B3801</f>
        <v>0</v>
      </c>
      <c r="F15" s="4" t="s">
        <v>4</v>
      </c>
    </row>
    <row r="16" spans="1:7" hidden="1" x14ac:dyDescent="0.25">
      <c r="A16" s="6" t="s">
        <v>13</v>
      </c>
      <c r="B16" s="6" t="s">
        <v>19</v>
      </c>
      <c r="D16" s="4" t="s">
        <v>20</v>
      </c>
      <c r="E16" s="5">
        <f>E14*B3802</f>
        <v>0</v>
      </c>
      <c r="F16" s="4" t="s">
        <v>4</v>
      </c>
    </row>
    <row r="17" spans="1:6" hidden="1" x14ac:dyDescent="0.25">
      <c r="A17" s="6" t="s">
        <v>13</v>
      </c>
      <c r="B17" s="6" t="s">
        <v>21</v>
      </c>
      <c r="D17" s="4" t="s">
        <v>22</v>
      </c>
      <c r="E17" s="5">
        <f>E14*B3803</f>
        <v>0</v>
      </c>
      <c r="F17" s="4" t="s">
        <v>4</v>
      </c>
    </row>
    <row r="18" spans="1:6" hidden="1" x14ac:dyDescent="0.25"/>
    <row r="19" spans="1:6" hidden="1" x14ac:dyDescent="0.25">
      <c r="A19" s="6" t="s">
        <v>23</v>
      </c>
      <c r="B19" s="6" t="s">
        <v>4</v>
      </c>
      <c r="C19" s="6" t="s">
        <v>4</v>
      </c>
      <c r="D19" s="4" t="s">
        <v>4</v>
      </c>
      <c r="E19" s="5">
        <f>SUM(E14:E17)</f>
        <v>0</v>
      </c>
    </row>
    <row r="20" spans="1:6" hidden="1" x14ac:dyDescent="0.25"/>
    <row r="22" spans="1:6" x14ac:dyDescent="0.25">
      <c r="A22" s="6" t="s">
        <v>24</v>
      </c>
    </row>
    <row r="23" spans="1:6" x14ac:dyDescent="0.25">
      <c r="A23" s="6" t="s">
        <v>12</v>
      </c>
    </row>
    <row r="24" spans="1:6" x14ac:dyDescent="0.25">
      <c r="A24" s="6" t="s">
        <v>13</v>
      </c>
      <c r="B24" s="11" t="s">
        <v>25</v>
      </c>
      <c r="D24" s="4" t="s">
        <v>26</v>
      </c>
      <c r="E24" s="5">
        <f>600-450</f>
        <v>150</v>
      </c>
    </row>
    <row r="25" spans="1:6" x14ac:dyDescent="0.25">
      <c r="A25" s="6" t="s">
        <v>13</v>
      </c>
      <c r="B25" s="6" t="s">
        <v>17</v>
      </c>
      <c r="D25" s="4" t="s">
        <v>18</v>
      </c>
      <c r="E25" s="5">
        <f>E24*B3801</f>
        <v>9.3000000000000007</v>
      </c>
    </row>
    <row r="26" spans="1:6" x14ac:dyDescent="0.25">
      <c r="A26" s="6" t="s">
        <v>13</v>
      </c>
      <c r="B26" s="6" t="s">
        <v>19</v>
      </c>
      <c r="D26" s="4" t="s">
        <v>20</v>
      </c>
      <c r="E26" s="5">
        <f>E24*B3802</f>
        <v>2.1750000000000003</v>
      </c>
      <c r="F26" s="4" t="s">
        <v>4</v>
      </c>
    </row>
    <row r="27" spans="1:6" x14ac:dyDescent="0.25">
      <c r="A27" s="6" t="s">
        <v>13</v>
      </c>
      <c r="B27" s="6" t="s">
        <v>21</v>
      </c>
      <c r="D27" s="4" t="s">
        <v>22</v>
      </c>
      <c r="E27" s="5">
        <f>E24*B3803</f>
        <v>35.01</v>
      </c>
      <c r="F27" s="4" t="s">
        <v>4</v>
      </c>
    </row>
    <row r="28" spans="1:6" x14ac:dyDescent="0.25">
      <c r="A28" s="6" t="s">
        <v>13</v>
      </c>
      <c r="B28" s="6" t="s">
        <v>27</v>
      </c>
      <c r="D28" s="4" t="s">
        <v>28</v>
      </c>
      <c r="E28" s="5">
        <f>300-150</f>
        <v>150</v>
      </c>
    </row>
    <row r="30" spans="1:6" x14ac:dyDescent="0.25">
      <c r="A30" s="6" t="s">
        <v>29</v>
      </c>
      <c r="B30" s="6" t="s">
        <v>4</v>
      </c>
      <c r="C30" s="6" t="s">
        <v>4</v>
      </c>
      <c r="D30" s="4" t="s">
        <v>4</v>
      </c>
      <c r="E30" s="5">
        <f>SUM(E24:E28)</f>
        <v>346.48500000000001</v>
      </c>
    </row>
    <row r="32" spans="1:6" x14ac:dyDescent="0.25">
      <c r="A32" s="6" t="s">
        <v>30</v>
      </c>
    </row>
    <row r="33" spans="1:6" x14ac:dyDescent="0.25">
      <c r="A33" s="6" t="s">
        <v>12</v>
      </c>
    </row>
    <row r="34" spans="1:6" x14ac:dyDescent="0.25">
      <c r="A34" s="6" t="s">
        <v>31</v>
      </c>
      <c r="B34" s="12" t="s">
        <v>32</v>
      </c>
      <c r="D34" s="4" t="s">
        <v>33</v>
      </c>
      <c r="E34" s="5">
        <v>425</v>
      </c>
    </row>
    <row r="35" spans="1:6" x14ac:dyDescent="0.25">
      <c r="A35" s="6" t="s">
        <v>31</v>
      </c>
      <c r="B35" s="12" t="s">
        <v>34</v>
      </c>
      <c r="D35" s="4" t="s">
        <v>35</v>
      </c>
      <c r="E35" s="5">
        <v>2645</v>
      </c>
    </row>
    <row r="36" spans="1:6" x14ac:dyDescent="0.25">
      <c r="A36" s="6" t="s">
        <v>31</v>
      </c>
      <c r="B36" s="11" t="s">
        <v>25</v>
      </c>
      <c r="D36" s="4" t="s">
        <v>26</v>
      </c>
      <c r="E36" s="5">
        <f>2469+5536</f>
        <v>8005</v>
      </c>
    </row>
    <row r="37" spans="1:6" x14ac:dyDescent="0.25">
      <c r="A37" s="6" t="s">
        <v>31</v>
      </c>
      <c r="B37" s="11" t="s">
        <v>36</v>
      </c>
      <c r="D37" s="4" t="s">
        <v>37</v>
      </c>
      <c r="E37" s="5">
        <v>2000</v>
      </c>
    </row>
    <row r="38" spans="1:6" x14ac:dyDescent="0.25">
      <c r="A38" s="6" t="s">
        <v>31</v>
      </c>
      <c r="B38" s="11" t="s">
        <v>38</v>
      </c>
      <c r="D38" s="4" t="s">
        <v>39</v>
      </c>
      <c r="E38" s="5">
        <v>2000</v>
      </c>
    </row>
    <row r="39" spans="1:6" x14ac:dyDescent="0.25">
      <c r="A39" s="6" t="s">
        <v>31</v>
      </c>
      <c r="B39" s="6" t="s">
        <v>17</v>
      </c>
      <c r="D39" s="4" t="s">
        <v>18</v>
      </c>
      <c r="E39" s="5">
        <f>(E36+E37+E38)*B3801</f>
        <v>744.31</v>
      </c>
    </row>
    <row r="40" spans="1:6" x14ac:dyDescent="0.25">
      <c r="A40" s="6" t="s">
        <v>31</v>
      </c>
      <c r="B40" s="6" t="s">
        <v>19</v>
      </c>
      <c r="D40" s="4" t="s">
        <v>20</v>
      </c>
      <c r="E40" s="5">
        <f>SUM(E34:E38)*B3802</f>
        <v>218.58750000000001</v>
      </c>
    </row>
    <row r="41" spans="1:6" x14ac:dyDescent="0.25">
      <c r="A41" s="6" t="s">
        <v>31</v>
      </c>
      <c r="B41" s="11" t="s">
        <v>40</v>
      </c>
      <c r="D41" s="4" t="s">
        <v>41</v>
      </c>
      <c r="E41" s="5">
        <f>E35+E34*B3799</f>
        <v>2657.75</v>
      </c>
    </row>
    <row r="42" spans="1:6" x14ac:dyDescent="0.25">
      <c r="A42" s="6" t="s">
        <v>31</v>
      </c>
      <c r="B42" s="6" t="s">
        <v>21</v>
      </c>
      <c r="D42" s="4" t="s">
        <v>22</v>
      </c>
      <c r="E42" s="5">
        <f>(E36+E38+E37)*B3803+0.39</f>
        <v>2802.357</v>
      </c>
      <c r="F42" s="4" t="s">
        <v>4</v>
      </c>
    </row>
    <row r="43" spans="1:6" x14ac:dyDescent="0.25">
      <c r="A43" s="6" t="s">
        <v>31</v>
      </c>
      <c r="B43" s="11" t="s">
        <v>42</v>
      </c>
      <c r="D43" s="4" t="s">
        <v>43</v>
      </c>
      <c r="E43" s="5">
        <v>0</v>
      </c>
    </row>
    <row r="44" spans="1:6" x14ac:dyDescent="0.25">
      <c r="A44" s="6" t="s">
        <v>31</v>
      </c>
      <c r="B44" s="11" t="s">
        <v>44</v>
      </c>
      <c r="D44" s="4" t="s">
        <v>45</v>
      </c>
      <c r="E44" s="5">
        <v>500</v>
      </c>
    </row>
    <row r="45" spans="1:6" x14ac:dyDescent="0.25">
      <c r="A45" s="6" t="s">
        <v>31</v>
      </c>
      <c r="B45" s="11" t="s">
        <v>46</v>
      </c>
      <c r="D45" s="4" t="s">
        <v>47</v>
      </c>
      <c r="E45" s="5">
        <v>2600</v>
      </c>
    </row>
    <row r="46" spans="1:6" x14ac:dyDescent="0.25">
      <c r="A46" s="6" t="s">
        <v>31</v>
      </c>
      <c r="B46" s="11" t="s">
        <v>48</v>
      </c>
      <c r="D46" s="4" t="s">
        <v>49</v>
      </c>
      <c r="E46" s="5">
        <v>1200</v>
      </c>
    </row>
    <row r="47" spans="1:6" x14ac:dyDescent="0.25">
      <c r="A47" s="6" t="s">
        <v>31</v>
      </c>
      <c r="B47" s="11" t="s">
        <v>27</v>
      </c>
      <c r="D47" s="4" t="s">
        <v>28</v>
      </c>
      <c r="E47" s="5">
        <v>2000</v>
      </c>
    </row>
    <row r="49" spans="1:6" x14ac:dyDescent="0.25">
      <c r="A49" s="6" t="s">
        <v>50</v>
      </c>
      <c r="B49" s="6" t="s">
        <v>4</v>
      </c>
      <c r="C49" s="6" t="s">
        <v>4</v>
      </c>
      <c r="D49" s="4" t="s">
        <v>4</v>
      </c>
      <c r="E49" s="5">
        <f>SUM(E34:E47)</f>
        <v>27798.004499999999</v>
      </c>
    </row>
    <row r="51" spans="1:6" x14ac:dyDescent="0.25">
      <c r="A51" s="6" t="s">
        <v>51</v>
      </c>
    </row>
    <row r="52" spans="1:6" x14ac:dyDescent="0.25">
      <c r="A52" s="6" t="s">
        <v>12</v>
      </c>
    </row>
    <row r="53" spans="1:6" x14ac:dyDescent="0.25">
      <c r="A53" s="6" t="s">
        <v>52</v>
      </c>
      <c r="B53" s="6" t="s">
        <v>53</v>
      </c>
      <c r="D53" s="4" t="s">
        <v>54</v>
      </c>
      <c r="E53" s="5">
        <f>25570-25570</f>
        <v>0</v>
      </c>
    </row>
    <row r="54" spans="1:6" x14ac:dyDescent="0.25">
      <c r="A54" s="6" t="s">
        <v>52</v>
      </c>
      <c r="B54" s="6" t="s">
        <v>55</v>
      </c>
      <c r="D54" s="4" t="s">
        <v>56</v>
      </c>
      <c r="E54" s="5">
        <f>15870-15870</f>
        <v>0</v>
      </c>
    </row>
    <row r="55" spans="1:6" x14ac:dyDescent="0.25">
      <c r="A55" s="6" t="s">
        <v>52</v>
      </c>
      <c r="B55" s="6" t="s">
        <v>32</v>
      </c>
      <c r="D55" s="4" t="s">
        <v>33</v>
      </c>
      <c r="E55" s="5">
        <f>4804-4804</f>
        <v>0</v>
      </c>
    </row>
    <row r="56" spans="1:6" x14ac:dyDescent="0.25">
      <c r="A56" s="6" t="s">
        <v>52</v>
      </c>
      <c r="B56" s="6" t="s">
        <v>34</v>
      </c>
      <c r="D56" s="4" t="s">
        <v>57</v>
      </c>
      <c r="E56" s="5">
        <f>500-500</f>
        <v>0</v>
      </c>
    </row>
    <row r="57" spans="1:6" x14ac:dyDescent="0.25">
      <c r="A57" s="6" t="s">
        <v>52</v>
      </c>
      <c r="B57" s="11" t="s">
        <v>25</v>
      </c>
      <c r="D57" s="4" t="s">
        <v>58</v>
      </c>
      <c r="E57" s="5">
        <v>6290</v>
      </c>
      <c r="F57" s="4" t="s">
        <v>59</v>
      </c>
    </row>
    <row r="58" spans="1:6" x14ac:dyDescent="0.25">
      <c r="A58" s="6" t="s">
        <v>52</v>
      </c>
      <c r="B58" s="6" t="s">
        <v>17</v>
      </c>
      <c r="D58" s="4" t="s">
        <v>18</v>
      </c>
      <c r="E58" s="5">
        <f>E57*B3801</f>
        <v>389.98</v>
      </c>
    </row>
    <row r="59" spans="1:6" x14ac:dyDescent="0.25">
      <c r="A59" s="6" t="s">
        <v>52</v>
      </c>
      <c r="B59" s="6" t="s">
        <v>19</v>
      </c>
      <c r="D59" s="4" t="s">
        <v>20</v>
      </c>
      <c r="E59" s="5">
        <f>SUM(E53:E57)*B3802</f>
        <v>91.204999999999998</v>
      </c>
    </row>
    <row r="60" spans="1:6" x14ac:dyDescent="0.25">
      <c r="A60" s="6" t="s">
        <v>52</v>
      </c>
      <c r="B60" s="6" t="s">
        <v>40</v>
      </c>
      <c r="D60" s="4" t="s">
        <v>60</v>
      </c>
      <c r="E60" s="5">
        <f>SUM(E53:E56)*B3799</f>
        <v>0</v>
      </c>
    </row>
    <row r="61" spans="1:6" x14ac:dyDescent="0.25">
      <c r="A61" s="6" t="s">
        <v>52</v>
      </c>
      <c r="B61" s="11" t="s">
        <v>21</v>
      </c>
      <c r="D61" s="4" t="s">
        <v>22</v>
      </c>
      <c r="E61" s="5">
        <f>E57*B3803</f>
        <v>1468.086</v>
      </c>
    </row>
    <row r="62" spans="1:6" x14ac:dyDescent="0.25">
      <c r="A62" s="6" t="s">
        <v>52</v>
      </c>
      <c r="B62" s="11" t="s">
        <v>61</v>
      </c>
      <c r="D62" s="4" t="s">
        <v>62</v>
      </c>
      <c r="E62" s="5">
        <v>2000</v>
      </c>
    </row>
    <row r="63" spans="1:6" x14ac:dyDescent="0.25">
      <c r="A63" s="6" t="s">
        <v>52</v>
      </c>
      <c r="B63" s="11" t="s">
        <v>44</v>
      </c>
      <c r="D63" s="4" t="s">
        <v>63</v>
      </c>
      <c r="E63" s="5">
        <v>0</v>
      </c>
    </row>
    <row r="64" spans="1:6" x14ac:dyDescent="0.25">
      <c r="A64" s="6" t="s">
        <v>52</v>
      </c>
      <c r="B64" s="11" t="s">
        <v>64</v>
      </c>
      <c r="D64" s="4" t="s">
        <v>65</v>
      </c>
      <c r="E64" s="5">
        <v>0</v>
      </c>
    </row>
    <row r="65" spans="1:6" x14ac:dyDescent="0.25">
      <c r="A65" s="6" t="s">
        <v>52</v>
      </c>
      <c r="B65" s="6" t="s">
        <v>66</v>
      </c>
      <c r="D65" s="4" t="s">
        <v>67</v>
      </c>
      <c r="E65" s="5">
        <v>2500</v>
      </c>
    </row>
    <row r="66" spans="1:6" x14ac:dyDescent="0.25">
      <c r="A66" s="6" t="s">
        <v>52</v>
      </c>
      <c r="B66" s="11" t="s">
        <v>68</v>
      </c>
      <c r="D66" s="4" t="s">
        <v>69</v>
      </c>
      <c r="E66" s="5">
        <v>1000</v>
      </c>
    </row>
    <row r="67" spans="1:6" x14ac:dyDescent="0.25">
      <c r="A67" s="6" t="s">
        <v>52</v>
      </c>
      <c r="B67" s="11" t="s">
        <v>70</v>
      </c>
      <c r="D67" s="4" t="s">
        <v>71</v>
      </c>
      <c r="E67" s="5">
        <v>3500</v>
      </c>
    </row>
    <row r="68" spans="1:6" x14ac:dyDescent="0.25">
      <c r="A68" s="6" t="s">
        <v>52</v>
      </c>
      <c r="B68" s="6" t="s">
        <v>46</v>
      </c>
      <c r="D68" s="4" t="s">
        <v>47</v>
      </c>
      <c r="E68" s="5">
        <v>2000</v>
      </c>
      <c r="F68" s="13"/>
    </row>
    <row r="69" spans="1:6" x14ac:dyDescent="0.25">
      <c r="A69" s="6" t="s">
        <v>52</v>
      </c>
      <c r="B69" s="6" t="s">
        <v>72</v>
      </c>
      <c r="D69" s="4" t="s">
        <v>73</v>
      </c>
      <c r="E69" s="5">
        <v>600</v>
      </c>
    </row>
    <row r="70" spans="1:6" x14ac:dyDescent="0.25">
      <c r="A70" s="6" t="s">
        <v>52</v>
      </c>
      <c r="B70" s="11" t="s">
        <v>74</v>
      </c>
      <c r="D70" s="4" t="s">
        <v>75</v>
      </c>
      <c r="E70" s="5">
        <v>150</v>
      </c>
    </row>
    <row r="71" spans="1:6" ht="15.75" customHeight="1" x14ac:dyDescent="0.25">
      <c r="A71" s="6" t="s">
        <v>52</v>
      </c>
      <c r="B71" s="6" t="s">
        <v>76</v>
      </c>
      <c r="D71" s="4" t="s">
        <v>77</v>
      </c>
      <c r="E71" s="5">
        <v>4000</v>
      </c>
      <c r="F71" s="13"/>
    </row>
    <row r="72" spans="1:6" ht="15.75" customHeight="1" x14ac:dyDescent="0.25">
      <c r="A72" s="6" t="s">
        <v>52</v>
      </c>
      <c r="B72" s="11" t="s">
        <v>78</v>
      </c>
      <c r="D72" s="4" t="s">
        <v>79</v>
      </c>
      <c r="E72" s="5">
        <v>5000</v>
      </c>
    </row>
    <row r="73" spans="1:6" x14ac:dyDescent="0.25">
      <c r="A73" s="6" t="s">
        <v>52</v>
      </c>
      <c r="B73" s="11" t="s">
        <v>80</v>
      </c>
      <c r="D73" s="4" t="s">
        <v>81</v>
      </c>
      <c r="E73" s="5">
        <v>64240</v>
      </c>
    </row>
    <row r="75" spans="1:6" x14ac:dyDescent="0.25">
      <c r="A75" s="6" t="s">
        <v>82</v>
      </c>
      <c r="B75" s="6" t="s">
        <v>4</v>
      </c>
      <c r="C75" s="6" t="s">
        <v>4</v>
      </c>
      <c r="D75" s="4" t="s">
        <v>4</v>
      </c>
      <c r="E75" s="5">
        <f>SUM(E53:E73)</f>
        <v>93229.271000000008</v>
      </c>
      <c r="F75" s="13"/>
    </row>
    <row r="76" spans="1:6" x14ac:dyDescent="0.25">
      <c r="D76" s="13" t="s">
        <v>4</v>
      </c>
    </row>
    <row r="77" spans="1:6" x14ac:dyDescent="0.25">
      <c r="A77" s="6" t="s">
        <v>83</v>
      </c>
      <c r="D77" s="13"/>
    </row>
    <row r="78" spans="1:6" x14ac:dyDescent="0.25">
      <c r="D78" s="13"/>
    </row>
    <row r="79" spans="1:6" x14ac:dyDescent="0.25">
      <c r="A79" s="6" t="s">
        <v>84</v>
      </c>
      <c r="B79" s="11" t="s">
        <v>14</v>
      </c>
      <c r="D79" s="4" t="s">
        <v>15</v>
      </c>
      <c r="E79" s="5">
        <v>78027</v>
      </c>
      <c r="F79" s="4" t="s">
        <v>85</v>
      </c>
    </row>
    <row r="80" spans="1:6" x14ac:dyDescent="0.25">
      <c r="A80" s="6" t="s">
        <v>84</v>
      </c>
      <c r="B80" s="6" t="s">
        <v>17</v>
      </c>
      <c r="D80" s="4" t="s">
        <v>18</v>
      </c>
      <c r="E80" s="5">
        <f>E79*B3801</f>
        <v>4837.674</v>
      </c>
    </row>
    <row r="81" spans="1:5" x14ac:dyDescent="0.25">
      <c r="A81" s="6" t="s">
        <v>84</v>
      </c>
      <c r="B81" s="6" t="s">
        <v>19</v>
      </c>
      <c r="D81" s="4" t="s">
        <v>20</v>
      </c>
      <c r="E81" s="14">
        <f>E79*B3802</f>
        <v>1131.3915</v>
      </c>
    </row>
    <row r="82" spans="1:5" x14ac:dyDescent="0.25">
      <c r="A82" s="6" t="s">
        <v>84</v>
      </c>
      <c r="B82" s="11" t="s">
        <v>21</v>
      </c>
      <c r="D82" s="4" t="s">
        <v>22</v>
      </c>
      <c r="E82" s="5">
        <f>E79*B3803</f>
        <v>18211.501799999998</v>
      </c>
    </row>
    <row r="83" spans="1:5" hidden="1" x14ac:dyDescent="0.25">
      <c r="A83" s="6" t="s">
        <v>84</v>
      </c>
      <c r="B83" s="11" t="s">
        <v>61</v>
      </c>
      <c r="D83" s="4" t="s">
        <v>62</v>
      </c>
    </row>
    <row r="84" spans="1:5" hidden="1" x14ac:dyDescent="0.25">
      <c r="A84" s="6" t="s">
        <v>84</v>
      </c>
      <c r="B84" s="11" t="s">
        <v>86</v>
      </c>
      <c r="D84" s="4" t="s">
        <v>87</v>
      </c>
    </row>
    <row r="85" spans="1:5" hidden="1" x14ac:dyDescent="0.25">
      <c r="A85" s="6" t="s">
        <v>84</v>
      </c>
      <c r="B85" s="11" t="s">
        <v>88</v>
      </c>
      <c r="D85" s="4" t="s">
        <v>89</v>
      </c>
    </row>
    <row r="86" spans="1:5" hidden="1" x14ac:dyDescent="0.25">
      <c r="A86" s="6" t="s">
        <v>84</v>
      </c>
      <c r="B86" s="6" t="s">
        <v>66</v>
      </c>
      <c r="D86" s="4" t="s">
        <v>67</v>
      </c>
    </row>
    <row r="87" spans="1:5" hidden="1" x14ac:dyDescent="0.25">
      <c r="A87" s="6" t="s">
        <v>84</v>
      </c>
      <c r="B87" s="11" t="s">
        <v>90</v>
      </c>
      <c r="D87" s="4" t="s">
        <v>91</v>
      </c>
    </row>
    <row r="88" spans="1:5" hidden="1" x14ac:dyDescent="0.25">
      <c r="A88" s="6" t="s">
        <v>84</v>
      </c>
      <c r="B88" s="11" t="s">
        <v>68</v>
      </c>
      <c r="D88" s="4" t="s">
        <v>69</v>
      </c>
    </row>
    <row r="89" spans="1:5" hidden="1" x14ac:dyDescent="0.25">
      <c r="A89" s="6" t="s">
        <v>84</v>
      </c>
      <c r="B89" s="11" t="s">
        <v>70</v>
      </c>
      <c r="D89" s="4" t="s">
        <v>92</v>
      </c>
    </row>
    <row r="90" spans="1:5" hidden="1" x14ac:dyDescent="0.25">
      <c r="A90" s="6" t="s">
        <v>84</v>
      </c>
      <c r="B90" s="11" t="s">
        <v>46</v>
      </c>
      <c r="D90" s="4" t="s">
        <v>93</v>
      </c>
    </row>
    <row r="91" spans="1:5" hidden="1" x14ac:dyDescent="0.25">
      <c r="A91" s="6" t="s">
        <v>84</v>
      </c>
      <c r="B91" s="11" t="s">
        <v>94</v>
      </c>
      <c r="D91" s="4" t="s">
        <v>95</v>
      </c>
    </row>
    <row r="92" spans="1:5" hidden="1" x14ac:dyDescent="0.25">
      <c r="A92" s="6" t="s">
        <v>84</v>
      </c>
      <c r="B92" s="11" t="s">
        <v>96</v>
      </c>
      <c r="D92" s="4" t="s">
        <v>97</v>
      </c>
    </row>
    <row r="93" spans="1:5" hidden="1" x14ac:dyDescent="0.25">
      <c r="A93" s="6" t="s">
        <v>84</v>
      </c>
      <c r="B93" s="11" t="s">
        <v>78</v>
      </c>
      <c r="D93" s="4" t="s">
        <v>79</v>
      </c>
    </row>
    <row r="94" spans="1:5" hidden="1" x14ac:dyDescent="0.25">
      <c r="A94" s="6" t="s">
        <v>84</v>
      </c>
      <c r="B94" s="11" t="s">
        <v>98</v>
      </c>
      <c r="D94" s="4" t="s">
        <v>99</v>
      </c>
    </row>
    <row r="95" spans="1:5" hidden="1" x14ac:dyDescent="0.25">
      <c r="A95" s="6" t="s">
        <v>84</v>
      </c>
      <c r="B95" s="11" t="s">
        <v>27</v>
      </c>
      <c r="D95" s="4" t="s">
        <v>100</v>
      </c>
    </row>
    <row r="96" spans="1:5" x14ac:dyDescent="0.25">
      <c r="D96" s="13"/>
    </row>
    <row r="97" spans="1:5" x14ac:dyDescent="0.25">
      <c r="A97" s="6" t="s">
        <v>101</v>
      </c>
      <c r="D97" s="13"/>
      <c r="E97" s="5">
        <f>SUM(E79:E95)</f>
        <v>102207.5673</v>
      </c>
    </row>
    <row r="98" spans="1:5" x14ac:dyDescent="0.25">
      <c r="D98" s="13"/>
    </row>
    <row r="99" spans="1:5" x14ac:dyDescent="0.25">
      <c r="A99" s="6" t="s">
        <v>102</v>
      </c>
    </row>
    <row r="100" spans="1:5" x14ac:dyDescent="0.25">
      <c r="A100" s="6" t="s">
        <v>12</v>
      </c>
    </row>
    <row r="101" spans="1:5" x14ac:dyDescent="0.25">
      <c r="A101" s="6" t="s">
        <v>103</v>
      </c>
      <c r="B101" s="12" t="s">
        <v>104</v>
      </c>
      <c r="D101" s="4" t="s">
        <v>105</v>
      </c>
      <c r="E101" s="5">
        <f>9100</f>
        <v>9100</v>
      </c>
    </row>
    <row r="102" spans="1:5" x14ac:dyDescent="0.25">
      <c r="A102" s="6" t="s">
        <v>103</v>
      </c>
      <c r="B102" s="6" t="s">
        <v>14</v>
      </c>
      <c r="D102" s="4" t="s">
        <v>15</v>
      </c>
      <c r="E102" s="5">
        <f>27603-27603</f>
        <v>0</v>
      </c>
    </row>
    <row r="103" spans="1:5" x14ac:dyDescent="0.25">
      <c r="A103" s="6" t="s">
        <v>103</v>
      </c>
      <c r="B103" s="6" t="s">
        <v>17</v>
      </c>
      <c r="D103" s="4" t="s">
        <v>18</v>
      </c>
      <c r="E103" s="5">
        <f>SUM(E101:E102)*B3801</f>
        <v>564.20000000000005</v>
      </c>
    </row>
    <row r="104" spans="1:5" x14ac:dyDescent="0.25">
      <c r="A104" s="6" t="s">
        <v>103</v>
      </c>
      <c r="B104" s="6" t="s">
        <v>19</v>
      </c>
      <c r="D104" s="4" t="s">
        <v>20</v>
      </c>
      <c r="E104" s="5">
        <f>SUM(E101:E102)*B3802</f>
        <v>131.95000000000002</v>
      </c>
    </row>
    <row r="105" spans="1:5" x14ac:dyDescent="0.25">
      <c r="A105" s="6" t="s">
        <v>103</v>
      </c>
      <c r="B105" s="11" t="s">
        <v>40</v>
      </c>
      <c r="D105" s="4" t="s">
        <v>60</v>
      </c>
      <c r="E105" s="5">
        <v>0</v>
      </c>
    </row>
    <row r="106" spans="1:5" x14ac:dyDescent="0.25">
      <c r="A106" s="6" t="s">
        <v>103</v>
      </c>
      <c r="B106" s="6" t="s">
        <v>21</v>
      </c>
      <c r="D106" s="4" t="s">
        <v>22</v>
      </c>
      <c r="E106" s="5">
        <f>SUM(E101:E102)*B3803</f>
        <v>2123.94</v>
      </c>
    </row>
    <row r="107" spans="1:5" x14ac:dyDescent="0.25">
      <c r="A107" s="6" t="s">
        <v>103</v>
      </c>
      <c r="B107" s="11" t="s">
        <v>61</v>
      </c>
      <c r="D107" s="4" t="s">
        <v>106</v>
      </c>
      <c r="E107" s="5">
        <v>700</v>
      </c>
    </row>
    <row r="108" spans="1:5" x14ac:dyDescent="0.25">
      <c r="A108" s="6" t="s">
        <v>103</v>
      </c>
      <c r="B108" s="6" t="s">
        <v>107</v>
      </c>
      <c r="D108" s="4" t="s">
        <v>108</v>
      </c>
      <c r="E108" s="5">
        <v>1500</v>
      </c>
    </row>
    <row r="109" spans="1:5" x14ac:dyDescent="0.25">
      <c r="A109" s="6" t="s">
        <v>103</v>
      </c>
      <c r="B109" s="11" t="s">
        <v>44</v>
      </c>
      <c r="D109" s="4" t="s">
        <v>109</v>
      </c>
      <c r="E109" s="5">
        <v>600</v>
      </c>
    </row>
    <row r="110" spans="1:5" x14ac:dyDescent="0.25">
      <c r="A110" s="6" t="s">
        <v>103</v>
      </c>
      <c r="B110" s="11" t="s">
        <v>88</v>
      </c>
      <c r="D110" s="4" t="s">
        <v>89</v>
      </c>
      <c r="E110" s="5">
        <v>500</v>
      </c>
    </row>
    <row r="111" spans="1:5" x14ac:dyDescent="0.25">
      <c r="A111" s="6" t="s">
        <v>103</v>
      </c>
      <c r="B111" s="11" t="s">
        <v>70</v>
      </c>
      <c r="D111" s="4" t="s">
        <v>110</v>
      </c>
      <c r="E111" s="5">
        <v>1800</v>
      </c>
    </row>
    <row r="112" spans="1:5" x14ac:dyDescent="0.25">
      <c r="A112" s="6" t="s">
        <v>103</v>
      </c>
      <c r="B112" s="6" t="s">
        <v>46</v>
      </c>
      <c r="D112" s="4" t="s">
        <v>47</v>
      </c>
      <c r="E112" s="5">
        <v>12000</v>
      </c>
    </row>
    <row r="113" spans="1:6" x14ac:dyDescent="0.25">
      <c r="A113" s="6" t="s">
        <v>103</v>
      </c>
      <c r="B113" s="11" t="s">
        <v>72</v>
      </c>
      <c r="D113" s="4" t="s">
        <v>111</v>
      </c>
      <c r="E113" s="5">
        <v>400</v>
      </c>
    </row>
    <row r="114" spans="1:6" x14ac:dyDescent="0.25">
      <c r="A114" s="6" t="s">
        <v>103</v>
      </c>
      <c r="B114" s="11" t="s">
        <v>112</v>
      </c>
      <c r="D114" s="4" t="s">
        <v>113</v>
      </c>
      <c r="E114" s="5">
        <v>1500</v>
      </c>
    </row>
    <row r="115" spans="1:6" x14ac:dyDescent="0.25">
      <c r="A115" s="6" t="s">
        <v>103</v>
      </c>
      <c r="B115" s="11" t="s">
        <v>27</v>
      </c>
      <c r="D115" s="4" t="s">
        <v>28</v>
      </c>
      <c r="E115" s="5">
        <v>500</v>
      </c>
    </row>
    <row r="117" spans="1:6" x14ac:dyDescent="0.25">
      <c r="A117" s="6" t="s">
        <v>114</v>
      </c>
      <c r="B117" s="6" t="s">
        <v>4</v>
      </c>
      <c r="C117" s="6" t="s">
        <v>4</v>
      </c>
      <c r="D117" s="4" t="s">
        <v>4</v>
      </c>
      <c r="E117" s="5">
        <f>SUM(E101:E115)</f>
        <v>31420.090000000004</v>
      </c>
      <c r="F117" s="13">
        <f>SUM(E107:E115)</f>
        <v>19500</v>
      </c>
    </row>
    <row r="119" spans="1:6" x14ac:dyDescent="0.25">
      <c r="A119" s="6" t="s">
        <v>115</v>
      </c>
    </row>
    <row r="120" spans="1:6" x14ac:dyDescent="0.25">
      <c r="A120" s="6" t="s">
        <v>12</v>
      </c>
    </row>
    <row r="121" spans="1:6" x14ac:dyDescent="0.25">
      <c r="A121" s="6" t="s">
        <v>116</v>
      </c>
      <c r="B121" s="11" t="s">
        <v>53</v>
      </c>
      <c r="D121" s="4" t="s">
        <v>54</v>
      </c>
      <c r="E121" s="5">
        <v>0</v>
      </c>
    </row>
    <row r="122" spans="1:6" x14ac:dyDescent="0.25">
      <c r="A122" s="6" t="s">
        <v>116</v>
      </c>
      <c r="B122" s="11" t="s">
        <v>32</v>
      </c>
      <c r="D122" s="4" t="s">
        <v>33</v>
      </c>
      <c r="E122" s="5">
        <v>0</v>
      </c>
    </row>
    <row r="123" spans="1:6" x14ac:dyDescent="0.25">
      <c r="A123" s="6" t="s">
        <v>116</v>
      </c>
      <c r="B123" s="11" t="s">
        <v>19</v>
      </c>
      <c r="D123" s="4" t="s">
        <v>20</v>
      </c>
      <c r="E123" s="5">
        <f>(E121+E122)*B3802</f>
        <v>0</v>
      </c>
    </row>
    <row r="124" spans="1:6" x14ac:dyDescent="0.25">
      <c r="A124" s="6" t="s">
        <v>116</v>
      </c>
      <c r="B124" s="11" t="s">
        <v>40</v>
      </c>
      <c r="D124" s="4" t="s">
        <v>60</v>
      </c>
      <c r="E124" s="5">
        <f>(E121+E122)*B3799</f>
        <v>0</v>
      </c>
      <c r="F124" s="4" t="s">
        <v>4</v>
      </c>
    </row>
    <row r="126" spans="1:6" x14ac:dyDescent="0.25">
      <c r="A126" s="6" t="s">
        <v>117</v>
      </c>
      <c r="B126" s="6" t="s">
        <v>4</v>
      </c>
      <c r="C126" s="6" t="s">
        <v>4</v>
      </c>
      <c r="D126" s="4" t="s">
        <v>4</v>
      </c>
      <c r="E126" s="5">
        <f>SUM(E121:E124)</f>
        <v>0</v>
      </c>
    </row>
    <row r="128" spans="1:6" x14ac:dyDescent="0.25">
      <c r="A128" s="6" t="s">
        <v>118</v>
      </c>
    </row>
    <row r="129" spans="1:6" x14ac:dyDescent="0.25">
      <c r="A129" s="6" t="s">
        <v>12</v>
      </c>
    </row>
    <row r="130" spans="1:6" x14ac:dyDescent="0.25">
      <c r="A130" s="6" t="s">
        <v>119</v>
      </c>
      <c r="B130" s="6" t="s">
        <v>44</v>
      </c>
      <c r="D130" s="4" t="s">
        <v>120</v>
      </c>
      <c r="E130" s="5">
        <f>30000-30000</f>
        <v>0</v>
      </c>
    </row>
    <row r="131" spans="1:6" x14ac:dyDescent="0.25">
      <c r="A131" s="6" t="s">
        <v>119</v>
      </c>
      <c r="B131" s="11" t="s">
        <v>66</v>
      </c>
      <c r="D131" s="4" t="s">
        <v>121</v>
      </c>
      <c r="E131" s="5">
        <f>1500+500+150+850-3000</f>
        <v>0</v>
      </c>
      <c r="F131" s="4" t="s">
        <v>122</v>
      </c>
    </row>
    <row r="132" spans="1:6" x14ac:dyDescent="0.25">
      <c r="A132" s="6" t="s">
        <v>119</v>
      </c>
      <c r="B132" s="6" t="s">
        <v>46</v>
      </c>
      <c r="D132" s="4" t="s">
        <v>47</v>
      </c>
      <c r="E132" s="5">
        <f>4200-4200</f>
        <v>0</v>
      </c>
    </row>
    <row r="134" spans="1:6" x14ac:dyDescent="0.25">
      <c r="A134" s="6" t="s">
        <v>123</v>
      </c>
      <c r="B134" s="6" t="s">
        <v>4</v>
      </c>
      <c r="C134" s="6" t="s">
        <v>4</v>
      </c>
      <c r="D134" s="4" t="s">
        <v>4</v>
      </c>
      <c r="E134" s="5">
        <f>SUM(E130:E132)</f>
        <v>0</v>
      </c>
    </row>
    <row r="136" spans="1:6" x14ac:dyDescent="0.25">
      <c r="A136" s="6" t="s">
        <v>124</v>
      </c>
    </row>
    <row r="137" spans="1:6" x14ac:dyDescent="0.25">
      <c r="A137" s="6" t="s">
        <v>12</v>
      </c>
    </row>
    <row r="138" spans="1:6" x14ac:dyDescent="0.25">
      <c r="A138" s="6" t="s">
        <v>125</v>
      </c>
      <c r="B138" s="6" t="s">
        <v>53</v>
      </c>
      <c r="D138" s="4" t="s">
        <v>54</v>
      </c>
      <c r="E138" s="5">
        <v>78622</v>
      </c>
    </row>
    <row r="139" spans="1:6" x14ac:dyDescent="0.25">
      <c r="A139" s="6" t="s">
        <v>125</v>
      </c>
      <c r="B139" s="6" t="s">
        <v>55</v>
      </c>
      <c r="D139" s="4" t="s">
        <v>56</v>
      </c>
      <c r="E139" s="5">
        <v>23375</v>
      </c>
    </row>
    <row r="140" spans="1:6" x14ac:dyDescent="0.25">
      <c r="A140" s="6" t="s">
        <v>125</v>
      </c>
      <c r="B140" s="6" t="s">
        <v>32</v>
      </c>
      <c r="D140" s="4" t="s">
        <v>33</v>
      </c>
      <c r="E140" s="5">
        <v>32490</v>
      </c>
    </row>
    <row r="141" spans="1:6" x14ac:dyDescent="0.25">
      <c r="A141" s="6" t="s">
        <v>125</v>
      </c>
      <c r="B141" s="11" t="s">
        <v>34</v>
      </c>
      <c r="D141" s="4" t="s">
        <v>57</v>
      </c>
      <c r="E141" s="5">
        <v>8000</v>
      </c>
    </row>
    <row r="142" spans="1:6" x14ac:dyDescent="0.25">
      <c r="A142" s="6" t="s">
        <v>125</v>
      </c>
      <c r="B142" s="6" t="s">
        <v>14</v>
      </c>
      <c r="D142" s="4" t="s">
        <v>15</v>
      </c>
      <c r="E142" s="5">
        <v>62255</v>
      </c>
    </row>
    <row r="143" spans="1:6" x14ac:dyDescent="0.25">
      <c r="A143" s="6" t="s">
        <v>125</v>
      </c>
      <c r="B143" s="6" t="s">
        <v>17</v>
      </c>
      <c r="D143" s="4" t="s">
        <v>18</v>
      </c>
      <c r="E143" s="5">
        <f>E142*B3801</f>
        <v>3859.81</v>
      </c>
    </row>
    <row r="144" spans="1:6" x14ac:dyDescent="0.25">
      <c r="A144" s="6" t="s">
        <v>125</v>
      </c>
      <c r="B144" s="6" t="s">
        <v>19</v>
      </c>
      <c r="D144" s="4" t="s">
        <v>20</v>
      </c>
      <c r="E144" s="5">
        <f>SUM(E138:E142)*B3802</f>
        <v>2968.759</v>
      </c>
    </row>
    <row r="145" spans="1:6" x14ac:dyDescent="0.25">
      <c r="A145" s="6" t="s">
        <v>125</v>
      </c>
      <c r="B145" s="6" t="s">
        <v>40</v>
      </c>
      <c r="D145" s="4" t="s">
        <v>60</v>
      </c>
      <c r="E145" s="5">
        <f>SUM(E138:E141)*B3799</f>
        <v>4274.6099999999997</v>
      </c>
    </row>
    <row r="146" spans="1:6" x14ac:dyDescent="0.25">
      <c r="A146" s="6" t="s">
        <v>125</v>
      </c>
      <c r="B146" s="6" t="s">
        <v>21</v>
      </c>
      <c r="D146" s="4" t="s">
        <v>22</v>
      </c>
      <c r="E146" s="5">
        <f>E142*B3803</f>
        <v>14530.316999999999</v>
      </c>
    </row>
    <row r="147" spans="1:6" x14ac:dyDescent="0.25">
      <c r="A147" s="6" t="s">
        <v>125</v>
      </c>
      <c r="B147" s="11" t="s">
        <v>42</v>
      </c>
      <c r="D147" s="4" t="s">
        <v>126</v>
      </c>
      <c r="E147" s="5">
        <v>225</v>
      </c>
    </row>
    <row r="148" spans="1:6" x14ac:dyDescent="0.25">
      <c r="A148" s="6" t="s">
        <v>125</v>
      </c>
      <c r="B148" s="11" t="s">
        <v>61</v>
      </c>
      <c r="D148" s="4" t="s">
        <v>62</v>
      </c>
      <c r="E148" s="5">
        <v>600</v>
      </c>
    </row>
    <row r="149" spans="1:6" x14ac:dyDescent="0.25">
      <c r="A149" s="6" t="s">
        <v>125</v>
      </c>
      <c r="B149" s="11" t="s">
        <v>66</v>
      </c>
      <c r="D149" s="4" t="s">
        <v>121</v>
      </c>
      <c r="E149" s="5">
        <v>800</v>
      </c>
    </row>
    <row r="150" spans="1:6" x14ac:dyDescent="0.25">
      <c r="A150" s="6" t="s">
        <v>125</v>
      </c>
      <c r="B150" s="11" t="s">
        <v>70</v>
      </c>
      <c r="D150" s="4" t="s">
        <v>127</v>
      </c>
      <c r="E150" s="5">
        <v>3000</v>
      </c>
    </row>
    <row r="151" spans="1:6" x14ac:dyDescent="0.25">
      <c r="A151" s="6" t="s">
        <v>125</v>
      </c>
      <c r="B151" s="6" t="s">
        <v>46</v>
      </c>
      <c r="D151" s="4" t="s">
        <v>47</v>
      </c>
      <c r="E151" s="5">
        <v>1000</v>
      </c>
    </row>
    <row r="152" spans="1:6" x14ac:dyDescent="0.25">
      <c r="A152" s="6" t="s">
        <v>125</v>
      </c>
      <c r="B152" s="11" t="s">
        <v>128</v>
      </c>
      <c r="D152" s="4" t="s">
        <v>129</v>
      </c>
      <c r="E152" s="5">
        <v>0</v>
      </c>
    </row>
    <row r="153" spans="1:6" x14ac:dyDescent="0.25">
      <c r="A153" s="6" t="s">
        <v>125</v>
      </c>
      <c r="B153" s="11" t="s">
        <v>78</v>
      </c>
      <c r="D153" s="4" t="s">
        <v>130</v>
      </c>
      <c r="E153" s="5">
        <v>1000</v>
      </c>
    </row>
    <row r="154" spans="1:6" x14ac:dyDescent="0.25">
      <c r="A154" s="6" t="s">
        <v>125</v>
      </c>
      <c r="B154" s="11" t="s">
        <v>80</v>
      </c>
      <c r="D154" s="4" t="s">
        <v>81</v>
      </c>
      <c r="E154" s="5">
        <v>0</v>
      </c>
    </row>
    <row r="155" spans="1:6" x14ac:dyDescent="0.25">
      <c r="A155" s="6" t="s">
        <v>125</v>
      </c>
      <c r="B155" s="11" t="s">
        <v>131</v>
      </c>
      <c r="D155" s="4" t="s">
        <v>132</v>
      </c>
      <c r="E155" s="5">
        <v>0</v>
      </c>
    </row>
    <row r="157" spans="1:6" x14ac:dyDescent="0.25">
      <c r="A157" s="6" t="s">
        <v>133</v>
      </c>
      <c r="B157" s="6" t="s">
        <v>4</v>
      </c>
      <c r="C157" s="6" t="s">
        <v>4</v>
      </c>
      <c r="D157" s="4" t="s">
        <v>4</v>
      </c>
      <c r="E157" s="5">
        <f>SUM(E138:E155)</f>
        <v>237000.49599999998</v>
      </c>
      <c r="F157" s="13"/>
    </row>
    <row r="159" spans="1:6" x14ac:dyDescent="0.25">
      <c r="A159" s="6" t="s">
        <v>134</v>
      </c>
    </row>
    <row r="160" spans="1:6" x14ac:dyDescent="0.25">
      <c r="A160" s="6" t="s">
        <v>12</v>
      </c>
    </row>
    <row r="161" spans="1:6" x14ac:dyDescent="0.25">
      <c r="A161" s="6"/>
    </row>
    <row r="162" spans="1:6" x14ac:dyDescent="0.25">
      <c r="A162" s="6" t="s">
        <v>135</v>
      </c>
      <c r="B162" s="12" t="s">
        <v>53</v>
      </c>
      <c r="D162" s="4" t="s">
        <v>54</v>
      </c>
      <c r="E162" s="5">
        <f>59708-59708</f>
        <v>0</v>
      </c>
    </row>
    <row r="163" spans="1:6" x14ac:dyDescent="0.25">
      <c r="A163" s="6" t="s">
        <v>135</v>
      </c>
      <c r="B163" s="12" t="s">
        <v>55</v>
      </c>
      <c r="D163" s="4" t="s">
        <v>56</v>
      </c>
      <c r="E163" s="5">
        <v>3904</v>
      </c>
    </row>
    <row r="164" spans="1:6" x14ac:dyDescent="0.25">
      <c r="A164" s="6" t="s">
        <v>135</v>
      </c>
      <c r="B164" s="6" t="s">
        <v>19</v>
      </c>
      <c r="D164" s="4" t="s">
        <v>20</v>
      </c>
      <c r="E164" s="5">
        <f>SUM(E162:E163)*B3802</f>
        <v>56.608000000000004</v>
      </c>
    </row>
    <row r="165" spans="1:6" x14ac:dyDescent="0.25">
      <c r="A165" s="6" t="s">
        <v>135</v>
      </c>
      <c r="B165" s="6" t="s">
        <v>40</v>
      </c>
      <c r="D165" s="4" t="s">
        <v>60</v>
      </c>
      <c r="E165" s="5">
        <f>SUM(E162:E163)*B3799</f>
        <v>117.11999999999999</v>
      </c>
    </row>
    <row r="166" spans="1:6" x14ac:dyDescent="0.25">
      <c r="A166" s="6" t="s">
        <v>135</v>
      </c>
      <c r="B166" s="6" t="s">
        <v>136</v>
      </c>
      <c r="D166" s="4" t="s">
        <v>137</v>
      </c>
      <c r="E166" s="5">
        <f>3500-3500</f>
        <v>0</v>
      </c>
    </row>
    <row r="167" spans="1:6" x14ac:dyDescent="0.25">
      <c r="A167" s="6" t="s">
        <v>135</v>
      </c>
      <c r="B167" s="6" t="s">
        <v>46</v>
      </c>
      <c r="D167" s="4" t="s">
        <v>47</v>
      </c>
      <c r="E167" s="5">
        <f>750-750</f>
        <v>0</v>
      </c>
    </row>
    <row r="169" spans="1:6" x14ac:dyDescent="0.25">
      <c r="A169" s="6" t="s">
        <v>138</v>
      </c>
      <c r="B169" s="6" t="s">
        <v>4</v>
      </c>
      <c r="C169" s="6" t="s">
        <v>4</v>
      </c>
      <c r="D169" s="4" t="s">
        <v>4</v>
      </c>
      <c r="E169" s="5">
        <f>SUM(E162:E167)</f>
        <v>4077.7280000000001</v>
      </c>
    </row>
    <row r="170" spans="1:6" hidden="1" x14ac:dyDescent="0.25"/>
    <row r="171" spans="1:6" hidden="1" x14ac:dyDescent="0.25">
      <c r="A171" s="6" t="s">
        <v>139</v>
      </c>
    </row>
    <row r="172" spans="1:6" hidden="1" x14ac:dyDescent="0.25">
      <c r="A172" s="6" t="s">
        <v>12</v>
      </c>
    </row>
    <row r="173" spans="1:6" hidden="1" x14ac:dyDescent="0.25">
      <c r="A173" s="6" t="s">
        <v>140</v>
      </c>
      <c r="B173" s="6" t="s">
        <v>19</v>
      </c>
      <c r="D173" s="4" t="s">
        <v>20</v>
      </c>
      <c r="E173" s="5">
        <v>0</v>
      </c>
      <c r="F173" s="4" t="s">
        <v>141</v>
      </c>
    </row>
    <row r="174" spans="1:6" hidden="1" x14ac:dyDescent="0.25">
      <c r="A174" s="6" t="s">
        <v>140</v>
      </c>
      <c r="B174" s="6" t="s">
        <v>142</v>
      </c>
      <c r="D174" s="4" t="s">
        <v>143</v>
      </c>
      <c r="E174" s="5">
        <v>0</v>
      </c>
    </row>
    <row r="175" spans="1:6" hidden="1" x14ac:dyDescent="0.25"/>
    <row r="176" spans="1:6" hidden="1" x14ac:dyDescent="0.25">
      <c r="A176" s="6" t="s">
        <v>144</v>
      </c>
      <c r="B176" s="6" t="s">
        <v>4</v>
      </c>
      <c r="C176" s="6" t="s">
        <v>4</v>
      </c>
      <c r="D176" s="4" t="s">
        <v>4</v>
      </c>
      <c r="E176" s="5">
        <f>E173+E174</f>
        <v>0</v>
      </c>
    </row>
    <row r="178" spans="1:7" hidden="1" x14ac:dyDescent="0.25">
      <c r="A178" s="6" t="s">
        <v>145</v>
      </c>
    </row>
    <row r="179" spans="1:7" hidden="1" x14ac:dyDescent="0.25">
      <c r="A179" s="6" t="s">
        <v>12</v>
      </c>
    </row>
    <row r="180" spans="1:7" hidden="1" x14ac:dyDescent="0.25">
      <c r="A180" s="6" t="s">
        <v>146</v>
      </c>
      <c r="B180" s="6" t="s">
        <v>147</v>
      </c>
      <c r="D180" s="4" t="s">
        <v>148</v>
      </c>
      <c r="E180" s="5">
        <v>0</v>
      </c>
      <c r="F180" s="4" t="s">
        <v>149</v>
      </c>
    </row>
    <row r="181" spans="1:7" hidden="1" x14ac:dyDescent="0.25">
      <c r="A181" s="6" t="s">
        <v>146</v>
      </c>
      <c r="B181" s="6" t="s">
        <v>40</v>
      </c>
      <c r="D181" s="4" t="s">
        <v>60</v>
      </c>
      <c r="E181" s="5">
        <v>0</v>
      </c>
      <c r="F181" s="4" t="s">
        <v>4</v>
      </c>
    </row>
    <row r="182" spans="1:7" hidden="1" x14ac:dyDescent="0.25"/>
    <row r="183" spans="1:7" hidden="1" x14ac:dyDescent="0.25">
      <c r="A183" s="6" t="s">
        <v>150</v>
      </c>
      <c r="B183" s="6" t="s">
        <v>4</v>
      </c>
      <c r="C183" s="6" t="s">
        <v>4</v>
      </c>
      <c r="D183" s="4" t="s">
        <v>4</v>
      </c>
      <c r="E183" s="5">
        <f>E180+E181</f>
        <v>0</v>
      </c>
    </row>
    <row r="184" spans="1:7" hidden="1" x14ac:dyDescent="0.25"/>
    <row r="185" spans="1:7" x14ac:dyDescent="0.25">
      <c r="A185" s="6" t="s">
        <v>151</v>
      </c>
    </row>
    <row r="186" spans="1:7" x14ac:dyDescent="0.25">
      <c r="A186" s="6" t="s">
        <v>12</v>
      </c>
    </row>
    <row r="187" spans="1:7" x14ac:dyDescent="0.25">
      <c r="A187" s="6" t="s">
        <v>152</v>
      </c>
      <c r="B187" s="6" t="s">
        <v>14</v>
      </c>
      <c r="D187" s="4" t="s">
        <v>15</v>
      </c>
      <c r="E187" s="5">
        <v>0</v>
      </c>
      <c r="F187" s="4" t="s">
        <v>153</v>
      </c>
      <c r="G187" s="4" t="s">
        <v>154</v>
      </c>
    </row>
    <row r="188" spans="1:7" x14ac:dyDescent="0.25">
      <c r="A188" s="6" t="s">
        <v>152</v>
      </c>
      <c r="B188" s="6" t="s">
        <v>25</v>
      </c>
      <c r="D188" s="4" t="s">
        <v>58</v>
      </c>
      <c r="E188" s="5">
        <v>0</v>
      </c>
      <c r="F188" s="4" t="s">
        <v>155</v>
      </c>
      <c r="G188" s="4" t="s">
        <v>156</v>
      </c>
    </row>
    <row r="189" spans="1:7" x14ac:dyDescent="0.25">
      <c r="A189" s="6" t="s">
        <v>152</v>
      </c>
      <c r="B189" s="11" t="s">
        <v>36</v>
      </c>
      <c r="D189" s="4" t="s">
        <v>157</v>
      </c>
      <c r="E189" s="5">
        <v>0</v>
      </c>
      <c r="G189" s="4" t="s">
        <v>158</v>
      </c>
    </row>
    <row r="190" spans="1:7" x14ac:dyDescent="0.25">
      <c r="A190" s="6" t="s">
        <v>152</v>
      </c>
      <c r="B190" s="6" t="s">
        <v>17</v>
      </c>
      <c r="D190" s="4" t="s">
        <v>18</v>
      </c>
      <c r="E190" s="5">
        <f>SUM(E187:E189)*B3801</f>
        <v>0</v>
      </c>
    </row>
    <row r="191" spans="1:7" x14ac:dyDescent="0.25">
      <c r="A191" s="6" t="s">
        <v>152</v>
      </c>
      <c r="B191" s="6" t="s">
        <v>19</v>
      </c>
      <c r="D191" s="4" t="s">
        <v>20</v>
      </c>
      <c r="E191" s="5">
        <f>SUM(E187:E189)*B3802</f>
        <v>0</v>
      </c>
    </row>
    <row r="192" spans="1:7" x14ac:dyDescent="0.25">
      <c r="A192" s="6" t="s">
        <v>152</v>
      </c>
      <c r="B192" s="6" t="s">
        <v>21</v>
      </c>
      <c r="D192" s="4" t="s">
        <v>22</v>
      </c>
      <c r="E192" s="5">
        <f>SUM(E187:E189)*B3803</f>
        <v>0</v>
      </c>
    </row>
    <row r="193" spans="1:5" x14ac:dyDescent="0.25">
      <c r="A193" s="6" t="s">
        <v>152</v>
      </c>
      <c r="B193" s="6" t="s">
        <v>159</v>
      </c>
      <c r="D193" s="4" t="s">
        <v>160</v>
      </c>
      <c r="E193" s="5">
        <v>3000</v>
      </c>
    </row>
    <row r="194" spans="1:5" x14ac:dyDescent="0.25">
      <c r="A194" s="6" t="s">
        <v>152</v>
      </c>
      <c r="B194" s="11" t="s">
        <v>44</v>
      </c>
      <c r="D194" s="4" t="s">
        <v>45</v>
      </c>
      <c r="E194" s="5">
        <v>13819</v>
      </c>
    </row>
    <row r="195" spans="1:5" x14ac:dyDescent="0.25">
      <c r="A195" s="6" t="s">
        <v>152</v>
      </c>
      <c r="B195" s="6" t="s">
        <v>161</v>
      </c>
      <c r="D195" s="4" t="s">
        <v>162</v>
      </c>
      <c r="E195" s="5">
        <f>1800+1000+1000</f>
        <v>3800</v>
      </c>
    </row>
    <row r="196" spans="1:5" x14ac:dyDescent="0.25">
      <c r="A196" s="6" t="s">
        <v>152</v>
      </c>
      <c r="B196" s="11" t="s">
        <v>163</v>
      </c>
      <c r="D196" s="4" t="s">
        <v>164</v>
      </c>
      <c r="E196" s="5">
        <v>3000</v>
      </c>
    </row>
    <row r="197" spans="1:5" x14ac:dyDescent="0.25">
      <c r="A197" s="6" t="s">
        <v>152</v>
      </c>
      <c r="B197" s="11" t="s">
        <v>165</v>
      </c>
      <c r="D197" s="4" t="s">
        <v>166</v>
      </c>
      <c r="E197" s="5">
        <f>2000+1000</f>
        <v>3000</v>
      </c>
    </row>
    <row r="198" spans="1:5" x14ac:dyDescent="0.25">
      <c r="A198" s="6" t="s">
        <v>152</v>
      </c>
      <c r="B198" s="11" t="s">
        <v>167</v>
      </c>
      <c r="D198" s="4" t="s">
        <v>168</v>
      </c>
      <c r="E198" s="5">
        <v>2250</v>
      </c>
    </row>
    <row r="199" spans="1:5" x14ac:dyDescent="0.25">
      <c r="A199" s="6" t="s">
        <v>152</v>
      </c>
      <c r="B199" s="11" t="s">
        <v>169</v>
      </c>
      <c r="D199" s="4" t="s">
        <v>170</v>
      </c>
      <c r="E199" s="5">
        <v>500</v>
      </c>
    </row>
    <row r="200" spans="1:5" x14ac:dyDescent="0.25">
      <c r="A200" s="6" t="s">
        <v>152</v>
      </c>
      <c r="B200" s="11" t="s">
        <v>171</v>
      </c>
      <c r="D200" s="4" t="s">
        <v>172</v>
      </c>
      <c r="E200" s="5">
        <v>0</v>
      </c>
    </row>
    <row r="201" spans="1:5" x14ac:dyDescent="0.25">
      <c r="A201" s="6" t="s">
        <v>152</v>
      </c>
      <c r="B201" s="11" t="s">
        <v>173</v>
      </c>
      <c r="D201" s="4" t="s">
        <v>174</v>
      </c>
      <c r="E201" s="5">
        <f>7345-7345</f>
        <v>0</v>
      </c>
    </row>
    <row r="202" spans="1:5" x14ac:dyDescent="0.25">
      <c r="A202" s="6" t="s">
        <v>152</v>
      </c>
      <c r="B202" s="11" t="s">
        <v>175</v>
      </c>
      <c r="D202" s="4" t="s">
        <v>176</v>
      </c>
      <c r="E202" s="5">
        <v>1000</v>
      </c>
    </row>
    <row r="203" spans="1:5" x14ac:dyDescent="0.25">
      <c r="A203" s="6" t="s">
        <v>152</v>
      </c>
      <c r="B203" s="6" t="s">
        <v>46</v>
      </c>
      <c r="D203" s="4" t="s">
        <v>47</v>
      </c>
      <c r="E203" s="5">
        <v>0</v>
      </c>
    </row>
    <row r="204" spans="1:5" x14ac:dyDescent="0.25">
      <c r="A204" s="6" t="s">
        <v>152</v>
      </c>
      <c r="B204" s="6" t="s">
        <v>177</v>
      </c>
      <c r="D204" s="4" t="s">
        <v>178</v>
      </c>
      <c r="E204" s="5">
        <f>6500-1000</f>
        <v>5500</v>
      </c>
    </row>
    <row r="205" spans="1:5" x14ac:dyDescent="0.25">
      <c r="A205" s="6" t="s">
        <v>152</v>
      </c>
      <c r="B205" s="6" t="s">
        <v>179</v>
      </c>
      <c r="D205" s="4" t="s">
        <v>180</v>
      </c>
      <c r="E205" s="5">
        <f>9500-1000</f>
        <v>8500</v>
      </c>
    </row>
    <row r="206" spans="1:5" x14ac:dyDescent="0.25">
      <c r="A206" s="6" t="s">
        <v>152</v>
      </c>
      <c r="B206" s="11" t="s">
        <v>181</v>
      </c>
      <c r="D206" s="4" t="s">
        <v>182</v>
      </c>
      <c r="E206" s="5">
        <v>6500</v>
      </c>
    </row>
    <row r="207" spans="1:5" x14ac:dyDescent="0.25">
      <c r="A207" s="6" t="s">
        <v>152</v>
      </c>
      <c r="B207" s="11" t="s">
        <v>183</v>
      </c>
      <c r="D207" s="4" t="s">
        <v>184</v>
      </c>
      <c r="E207" s="5">
        <v>0</v>
      </c>
    </row>
    <row r="209" spans="1:7" x14ac:dyDescent="0.25">
      <c r="A209" s="6" t="s">
        <v>185</v>
      </c>
      <c r="B209" s="6" t="s">
        <v>4</v>
      </c>
      <c r="C209" s="6" t="s">
        <v>4</v>
      </c>
      <c r="D209" s="4" t="s">
        <v>4</v>
      </c>
      <c r="E209" s="5">
        <f>SUM(E187:E207)</f>
        <v>50869</v>
      </c>
    </row>
    <row r="211" spans="1:7" hidden="1" x14ac:dyDescent="0.25">
      <c r="A211" s="6" t="s">
        <v>186</v>
      </c>
    </row>
    <row r="212" spans="1:7" hidden="1" x14ac:dyDescent="0.25">
      <c r="A212" s="6" t="s">
        <v>12</v>
      </c>
    </row>
    <row r="213" spans="1:7" hidden="1" x14ac:dyDescent="0.25">
      <c r="A213" s="6" t="s">
        <v>187</v>
      </c>
      <c r="B213" s="6" t="s">
        <v>61</v>
      </c>
      <c r="D213" s="4" t="s">
        <v>188</v>
      </c>
      <c r="E213" s="5">
        <v>0</v>
      </c>
      <c r="F213" s="4" t="s">
        <v>189</v>
      </c>
    </row>
    <row r="214" spans="1:7" hidden="1" x14ac:dyDescent="0.25">
      <c r="A214" s="6" t="s">
        <v>187</v>
      </c>
      <c r="B214" s="6" t="s">
        <v>136</v>
      </c>
      <c r="D214" s="4" t="s">
        <v>137</v>
      </c>
      <c r="E214" s="5">
        <v>0</v>
      </c>
    </row>
    <row r="215" spans="1:7" hidden="1" x14ac:dyDescent="0.25">
      <c r="A215" s="6" t="s">
        <v>187</v>
      </c>
      <c r="B215" s="11" t="s">
        <v>66</v>
      </c>
      <c r="D215" s="4" t="s">
        <v>121</v>
      </c>
      <c r="E215" s="5">
        <v>0</v>
      </c>
    </row>
    <row r="216" spans="1:7" hidden="1" x14ac:dyDescent="0.25">
      <c r="A216" s="6" t="s">
        <v>187</v>
      </c>
      <c r="B216" s="6" t="s">
        <v>68</v>
      </c>
      <c r="D216" s="4" t="s">
        <v>190</v>
      </c>
      <c r="E216" s="5">
        <v>0</v>
      </c>
    </row>
    <row r="217" spans="1:7" hidden="1" x14ac:dyDescent="0.25">
      <c r="A217" s="6" t="s">
        <v>187</v>
      </c>
      <c r="B217" s="6" t="s">
        <v>70</v>
      </c>
      <c r="D217" s="4" t="s">
        <v>191</v>
      </c>
      <c r="E217" s="5">
        <v>0</v>
      </c>
    </row>
    <row r="218" spans="1:7" hidden="1" x14ac:dyDescent="0.25">
      <c r="A218" s="6" t="s">
        <v>187</v>
      </c>
      <c r="B218" s="6" t="s">
        <v>46</v>
      </c>
      <c r="D218" s="4" t="s">
        <v>47</v>
      </c>
      <c r="E218" s="5">
        <v>0</v>
      </c>
    </row>
    <row r="219" spans="1:7" hidden="1" x14ac:dyDescent="0.25">
      <c r="A219" s="6" t="s">
        <v>187</v>
      </c>
      <c r="B219" s="11" t="s">
        <v>72</v>
      </c>
      <c r="D219" s="4" t="s">
        <v>111</v>
      </c>
      <c r="E219" s="5">
        <v>0</v>
      </c>
    </row>
    <row r="220" spans="1:7" hidden="1" x14ac:dyDescent="0.25">
      <c r="A220" s="6" t="s">
        <v>187</v>
      </c>
      <c r="B220" s="11" t="s">
        <v>192</v>
      </c>
      <c r="D220" s="4" t="s">
        <v>193</v>
      </c>
      <c r="E220" s="5">
        <v>0</v>
      </c>
      <c r="G220" s="12"/>
    </row>
    <row r="221" spans="1:7" hidden="1" x14ac:dyDescent="0.25"/>
    <row r="222" spans="1:7" hidden="1" x14ac:dyDescent="0.25">
      <c r="A222" s="6" t="s">
        <v>194</v>
      </c>
      <c r="B222" s="6" t="s">
        <v>4</v>
      </c>
      <c r="C222" s="6" t="s">
        <v>4</v>
      </c>
      <c r="D222" s="4" t="s">
        <v>4</v>
      </c>
      <c r="E222" s="5">
        <f>SUM(E213:E220)</f>
        <v>0</v>
      </c>
    </row>
    <row r="223" spans="1:7" hidden="1" x14ac:dyDescent="0.25"/>
    <row r="224" spans="1:7" x14ac:dyDescent="0.25">
      <c r="A224" s="6" t="s">
        <v>195</v>
      </c>
    </row>
    <row r="225" spans="1:7" x14ac:dyDescent="0.25">
      <c r="A225" s="6" t="s">
        <v>12</v>
      </c>
    </row>
    <row r="226" spans="1:7" x14ac:dyDescent="0.25">
      <c r="A226" s="6" t="s">
        <v>196</v>
      </c>
      <c r="B226" s="6" t="s">
        <v>14</v>
      </c>
      <c r="D226" s="4" t="s">
        <v>15</v>
      </c>
      <c r="E226" s="5">
        <v>0</v>
      </c>
    </row>
    <row r="227" spans="1:7" x14ac:dyDescent="0.25">
      <c r="A227" s="6" t="s">
        <v>196</v>
      </c>
      <c r="B227" s="6" t="s">
        <v>17</v>
      </c>
      <c r="D227" s="4" t="s">
        <v>18</v>
      </c>
      <c r="E227" s="5">
        <f>E226*B3801</f>
        <v>0</v>
      </c>
    </row>
    <row r="228" spans="1:7" x14ac:dyDescent="0.25">
      <c r="A228" s="6" t="s">
        <v>196</v>
      </c>
      <c r="B228" s="6" t="s">
        <v>19</v>
      </c>
      <c r="D228" s="4" t="s">
        <v>20</v>
      </c>
      <c r="E228" s="5">
        <f>E226*B3802</f>
        <v>0</v>
      </c>
    </row>
    <row r="229" spans="1:7" x14ac:dyDescent="0.25">
      <c r="A229" s="6" t="s">
        <v>196</v>
      </c>
      <c r="B229" s="6" t="s">
        <v>21</v>
      </c>
      <c r="D229" s="4" t="s">
        <v>22</v>
      </c>
      <c r="E229" s="5">
        <f>E226*B3803</f>
        <v>0</v>
      </c>
    </row>
    <row r="230" spans="1:7" x14ac:dyDescent="0.25">
      <c r="A230" s="6" t="s">
        <v>196</v>
      </c>
      <c r="B230" s="6" t="s">
        <v>197</v>
      </c>
      <c r="D230" s="4" t="s">
        <v>198</v>
      </c>
      <c r="E230" s="37">
        <f>80000-35000-30000</f>
        <v>15000</v>
      </c>
      <c r="F230" s="4" t="s">
        <v>199</v>
      </c>
    </row>
    <row r="231" spans="1:7" x14ac:dyDescent="0.25">
      <c r="A231" s="6" t="s">
        <v>196</v>
      </c>
      <c r="B231" s="11" t="s">
        <v>61</v>
      </c>
      <c r="D231" s="4" t="s">
        <v>62</v>
      </c>
      <c r="E231" s="5">
        <f>500-500</f>
        <v>0</v>
      </c>
    </row>
    <row r="232" spans="1:7" x14ac:dyDescent="0.25">
      <c r="A232" s="6" t="s">
        <v>196</v>
      </c>
      <c r="B232" s="6" t="s">
        <v>136</v>
      </c>
      <c r="D232" s="4" t="s">
        <v>137</v>
      </c>
      <c r="E232" s="5">
        <f>750-750</f>
        <v>0</v>
      </c>
      <c r="F232" s="4" t="s">
        <v>4</v>
      </c>
    </row>
    <row r="233" spans="1:7" x14ac:dyDescent="0.25">
      <c r="A233" s="6" t="s">
        <v>196</v>
      </c>
      <c r="B233" s="6" t="s">
        <v>46</v>
      </c>
      <c r="D233" s="4" t="s">
        <v>47</v>
      </c>
      <c r="E233" s="5">
        <f>250-250</f>
        <v>0</v>
      </c>
      <c r="F233" s="4" t="s">
        <v>4</v>
      </c>
    </row>
    <row r="235" spans="1:7" x14ac:dyDescent="0.25">
      <c r="A235" s="6" t="s">
        <v>200</v>
      </c>
      <c r="B235" s="6" t="s">
        <v>4</v>
      </c>
      <c r="C235" s="6" t="s">
        <v>4</v>
      </c>
      <c r="D235" s="4" t="s">
        <v>4</v>
      </c>
      <c r="E235" s="5">
        <f>SUM(E226:E233)</f>
        <v>15000</v>
      </c>
    </row>
    <row r="237" spans="1:7" x14ac:dyDescent="0.25">
      <c r="A237" s="6" t="s">
        <v>201</v>
      </c>
    </row>
    <row r="238" spans="1:7" x14ac:dyDescent="0.25">
      <c r="A238" s="6" t="s">
        <v>12</v>
      </c>
    </row>
    <row r="239" spans="1:7" x14ac:dyDescent="0.25">
      <c r="A239" s="6" t="s">
        <v>202</v>
      </c>
      <c r="B239" s="11" t="s">
        <v>203</v>
      </c>
      <c r="D239" s="4" t="s">
        <v>204</v>
      </c>
      <c r="E239" s="15">
        <f>199090-199090</f>
        <v>0</v>
      </c>
      <c r="F239" s="4" t="s">
        <v>205</v>
      </c>
      <c r="G239" s="4" t="s">
        <v>206</v>
      </c>
    </row>
    <row r="240" spans="1:7" x14ac:dyDescent="0.25">
      <c r="A240" s="6" t="s">
        <v>202</v>
      </c>
      <c r="B240" s="11" t="s">
        <v>207</v>
      </c>
      <c r="D240" s="4" t="s">
        <v>208</v>
      </c>
      <c r="E240" s="15">
        <f>50718.65+48727.75+0.6-99447</f>
        <v>0</v>
      </c>
      <c r="F240" s="4" t="s">
        <v>209</v>
      </c>
      <c r="G240" s="4" t="s">
        <v>210</v>
      </c>
    </row>
    <row r="241" spans="1:7" x14ac:dyDescent="0.25">
      <c r="G241" s="4" t="s">
        <v>211</v>
      </c>
    </row>
    <row r="242" spans="1:7" x14ac:dyDescent="0.25">
      <c r="A242" s="6" t="s">
        <v>212</v>
      </c>
      <c r="B242" s="6" t="s">
        <v>4</v>
      </c>
      <c r="C242" s="6" t="s">
        <v>4</v>
      </c>
      <c r="D242" s="4" t="s">
        <v>4</v>
      </c>
      <c r="E242" s="5">
        <f>E239+E240</f>
        <v>0</v>
      </c>
      <c r="G242" s="4" t="s">
        <v>213</v>
      </c>
    </row>
    <row r="243" spans="1:7" x14ac:dyDescent="0.25">
      <c r="G243" s="4" t="s">
        <v>214</v>
      </c>
    </row>
    <row r="244" spans="1:7" x14ac:dyDescent="0.25">
      <c r="A244" s="6" t="s">
        <v>215</v>
      </c>
      <c r="G244" s="4" t="s">
        <v>216</v>
      </c>
    </row>
    <row r="245" spans="1:7" x14ac:dyDescent="0.25">
      <c r="A245" s="6" t="s">
        <v>12</v>
      </c>
      <c r="G245" s="4" t="s">
        <v>217</v>
      </c>
    </row>
    <row r="246" spans="1:7" x14ac:dyDescent="0.25">
      <c r="A246" s="6" t="s">
        <v>218</v>
      </c>
      <c r="B246" s="6" t="s">
        <v>219</v>
      </c>
      <c r="D246" s="4" t="s">
        <v>220</v>
      </c>
      <c r="E246" s="5">
        <f>75000+225000-225000+114094.59</f>
        <v>189094.59</v>
      </c>
      <c r="F246" s="4" t="s">
        <v>221</v>
      </c>
    </row>
    <row r="247" spans="1:7" x14ac:dyDescent="0.25">
      <c r="F247" s="4" t="s">
        <v>222</v>
      </c>
    </row>
    <row r="248" spans="1:7" x14ac:dyDescent="0.25">
      <c r="A248" s="6" t="s">
        <v>223</v>
      </c>
      <c r="B248" s="6" t="s">
        <v>4</v>
      </c>
      <c r="C248" s="6" t="s">
        <v>4</v>
      </c>
      <c r="D248" s="4" t="s">
        <v>4</v>
      </c>
      <c r="E248" s="5">
        <f>E246</f>
        <v>189094.59</v>
      </c>
      <c r="F248" s="4" t="s">
        <v>224</v>
      </c>
    </row>
    <row r="250" spans="1:7" x14ac:dyDescent="0.25">
      <c r="A250" s="6" t="s">
        <v>225</v>
      </c>
    </row>
    <row r="251" spans="1:7" x14ac:dyDescent="0.25">
      <c r="A251" s="6" t="s">
        <v>12</v>
      </c>
    </row>
    <row r="252" spans="1:7" x14ac:dyDescent="0.25">
      <c r="A252" s="6" t="s">
        <v>226</v>
      </c>
      <c r="B252" s="6" t="s">
        <v>53</v>
      </c>
      <c r="D252" s="4" t="s">
        <v>54</v>
      </c>
      <c r="E252" s="5">
        <v>55000</v>
      </c>
      <c r="F252" s="4" t="s">
        <v>227</v>
      </c>
    </row>
    <row r="253" spans="1:7" x14ac:dyDescent="0.25">
      <c r="A253" s="6" t="s">
        <v>226</v>
      </c>
      <c r="B253" s="6" t="s">
        <v>55</v>
      </c>
      <c r="D253" s="4" t="s">
        <v>56</v>
      </c>
      <c r="E253" s="5">
        <v>0</v>
      </c>
    </row>
    <row r="254" spans="1:7" x14ac:dyDescent="0.25">
      <c r="A254" s="6" t="s">
        <v>226</v>
      </c>
      <c r="B254" s="6" t="s">
        <v>32</v>
      </c>
      <c r="D254" s="4" t="s">
        <v>33</v>
      </c>
      <c r="E254" s="5">
        <v>0</v>
      </c>
    </row>
    <row r="255" spans="1:7" x14ac:dyDescent="0.25">
      <c r="A255" s="6" t="s">
        <v>226</v>
      </c>
      <c r="B255" s="6" t="s">
        <v>34</v>
      </c>
      <c r="D255" s="4" t="s">
        <v>57</v>
      </c>
      <c r="E255" s="5">
        <v>0</v>
      </c>
    </row>
    <row r="256" spans="1:7" x14ac:dyDescent="0.25">
      <c r="A256" s="6" t="s">
        <v>226</v>
      </c>
      <c r="B256" s="11" t="s">
        <v>25</v>
      </c>
      <c r="D256" s="4" t="s">
        <v>58</v>
      </c>
      <c r="E256" s="5">
        <v>1865</v>
      </c>
    </row>
    <row r="257" spans="1:5" x14ac:dyDescent="0.25">
      <c r="A257" s="6" t="s">
        <v>226</v>
      </c>
      <c r="B257" s="11" t="s">
        <v>36</v>
      </c>
      <c r="D257" s="4" t="s">
        <v>37</v>
      </c>
      <c r="E257" s="5">
        <v>746</v>
      </c>
    </row>
    <row r="258" spans="1:5" x14ac:dyDescent="0.25">
      <c r="A258" s="6" t="s">
        <v>226</v>
      </c>
      <c r="B258" s="11" t="s">
        <v>17</v>
      </c>
      <c r="D258" s="4" t="s">
        <v>18</v>
      </c>
      <c r="E258" s="5">
        <f>(E256+E257)*B3801</f>
        <v>161.88200000000001</v>
      </c>
    </row>
    <row r="259" spans="1:5" x14ac:dyDescent="0.25">
      <c r="A259" s="6" t="s">
        <v>226</v>
      </c>
      <c r="B259" s="6" t="s">
        <v>19</v>
      </c>
      <c r="D259" s="4" t="s">
        <v>20</v>
      </c>
      <c r="E259" s="5">
        <f>SUM(E252:E256)*B3802</f>
        <v>824.54250000000002</v>
      </c>
    </row>
    <row r="260" spans="1:5" x14ac:dyDescent="0.25">
      <c r="A260" s="6" t="s">
        <v>226</v>
      </c>
      <c r="B260" s="6" t="s">
        <v>40</v>
      </c>
      <c r="D260" s="4" t="s">
        <v>60</v>
      </c>
      <c r="E260" s="5">
        <f>SUM(E252:E252)*B3799</f>
        <v>1650</v>
      </c>
    </row>
    <row r="261" spans="1:5" x14ac:dyDescent="0.25">
      <c r="A261" s="6" t="s">
        <v>226</v>
      </c>
      <c r="B261" s="11" t="s">
        <v>21</v>
      </c>
      <c r="D261" s="4" t="s">
        <v>22</v>
      </c>
      <c r="E261" s="5">
        <f>(E256+E257)*B3803</f>
        <v>609.40739999999994</v>
      </c>
    </row>
    <row r="262" spans="1:5" x14ac:dyDescent="0.25">
      <c r="A262" s="6" t="s">
        <v>226</v>
      </c>
      <c r="B262" s="6" t="s">
        <v>61</v>
      </c>
      <c r="D262" s="4" t="s">
        <v>188</v>
      </c>
      <c r="E262" s="5">
        <v>1500</v>
      </c>
    </row>
    <row r="263" spans="1:5" x14ac:dyDescent="0.25">
      <c r="A263" s="6" t="s">
        <v>226</v>
      </c>
      <c r="B263" s="11" t="s">
        <v>44</v>
      </c>
      <c r="D263" s="4" t="s">
        <v>45</v>
      </c>
      <c r="E263" s="5">
        <v>0</v>
      </c>
    </row>
    <row r="264" spans="1:5" x14ac:dyDescent="0.25">
      <c r="A264" s="6" t="s">
        <v>226</v>
      </c>
      <c r="B264" s="11" t="s">
        <v>88</v>
      </c>
      <c r="D264" s="4" t="s">
        <v>89</v>
      </c>
      <c r="E264" s="5">
        <v>300</v>
      </c>
    </row>
    <row r="265" spans="1:5" x14ac:dyDescent="0.25">
      <c r="A265" s="6" t="s">
        <v>226</v>
      </c>
      <c r="B265" s="6" t="s">
        <v>68</v>
      </c>
      <c r="D265" s="4" t="s">
        <v>190</v>
      </c>
      <c r="E265" s="5">
        <v>0</v>
      </c>
    </row>
    <row r="266" spans="1:5" x14ac:dyDescent="0.25">
      <c r="A266" s="6" t="s">
        <v>226</v>
      </c>
      <c r="B266" s="6" t="s">
        <v>70</v>
      </c>
      <c r="D266" s="4" t="s">
        <v>228</v>
      </c>
      <c r="E266" s="5">
        <v>500</v>
      </c>
    </row>
    <row r="267" spans="1:5" x14ac:dyDescent="0.25">
      <c r="A267" s="6" t="s">
        <v>226</v>
      </c>
      <c r="B267" s="6" t="s">
        <v>46</v>
      </c>
      <c r="D267" s="4" t="s">
        <v>47</v>
      </c>
      <c r="E267" s="5">
        <v>800</v>
      </c>
    </row>
    <row r="268" spans="1:5" x14ac:dyDescent="0.25">
      <c r="A268" s="6" t="s">
        <v>226</v>
      </c>
      <c r="B268" s="6" t="s">
        <v>72</v>
      </c>
      <c r="D268" s="4" t="s">
        <v>73</v>
      </c>
      <c r="E268" s="5">
        <v>1600</v>
      </c>
    </row>
    <row r="269" spans="1:5" x14ac:dyDescent="0.25">
      <c r="A269" s="6" t="s">
        <v>226</v>
      </c>
      <c r="B269" s="11" t="s">
        <v>94</v>
      </c>
      <c r="D269" s="4" t="s">
        <v>95</v>
      </c>
      <c r="E269" s="5">
        <v>2000</v>
      </c>
    </row>
    <row r="270" spans="1:5" x14ac:dyDescent="0.25">
      <c r="A270" s="6" t="s">
        <v>226</v>
      </c>
      <c r="B270" s="6" t="s">
        <v>128</v>
      </c>
      <c r="D270" s="4" t="s">
        <v>229</v>
      </c>
      <c r="E270" s="5">
        <v>0</v>
      </c>
    </row>
    <row r="271" spans="1:5" x14ac:dyDescent="0.25">
      <c r="A271" s="6" t="s">
        <v>226</v>
      </c>
      <c r="B271" s="11" t="s">
        <v>78</v>
      </c>
      <c r="D271" s="4" t="s">
        <v>230</v>
      </c>
      <c r="E271" s="5">
        <v>2000</v>
      </c>
    </row>
    <row r="272" spans="1:5" x14ac:dyDescent="0.25">
      <c r="A272" s="6" t="s">
        <v>226</v>
      </c>
      <c r="B272" s="11" t="s">
        <v>27</v>
      </c>
      <c r="D272" s="4" t="s">
        <v>28</v>
      </c>
      <c r="E272" s="5">
        <v>2000</v>
      </c>
    </row>
    <row r="274" spans="1:12" x14ac:dyDescent="0.25">
      <c r="A274" s="6" t="s">
        <v>231</v>
      </c>
      <c r="B274" s="6" t="s">
        <v>4</v>
      </c>
      <c r="C274" s="6" t="s">
        <v>4</v>
      </c>
      <c r="D274" s="4" t="s">
        <v>4</v>
      </c>
      <c r="E274" s="5">
        <f>SUM(E252:E272)</f>
        <v>71556.83189999999</v>
      </c>
    </row>
    <row r="276" spans="1:12" x14ac:dyDescent="0.25">
      <c r="A276" s="6" t="s">
        <v>232</v>
      </c>
    </row>
    <row r="277" spans="1:12" x14ac:dyDescent="0.25">
      <c r="A277" s="6" t="s">
        <v>12</v>
      </c>
    </row>
    <row r="278" spans="1:12" x14ac:dyDescent="0.25">
      <c r="A278" s="6" t="s">
        <v>233</v>
      </c>
      <c r="B278" s="6" t="s">
        <v>53</v>
      </c>
      <c r="D278" s="4" t="s">
        <v>54</v>
      </c>
      <c r="E278" s="15">
        <f>-55000*7+385000</f>
        <v>0</v>
      </c>
      <c r="F278" s="4" t="s">
        <v>234</v>
      </c>
      <c r="G278" s="4" t="s">
        <v>235</v>
      </c>
    </row>
    <row r="279" spans="1:12" x14ac:dyDescent="0.25">
      <c r="A279" s="6" t="s">
        <v>233</v>
      </c>
      <c r="B279" s="11" t="s">
        <v>14</v>
      </c>
      <c r="D279" s="4" t="s">
        <v>54</v>
      </c>
      <c r="E279" s="15">
        <f>-40000*7+280000</f>
        <v>0</v>
      </c>
      <c r="F279" s="4" t="s">
        <v>234</v>
      </c>
      <c r="G279" s="4" t="s">
        <v>236</v>
      </c>
    </row>
    <row r="280" spans="1:12" x14ac:dyDescent="0.25">
      <c r="A280" s="6" t="s">
        <v>233</v>
      </c>
      <c r="B280" s="6" t="s">
        <v>53</v>
      </c>
      <c r="D280" s="4" t="s">
        <v>54</v>
      </c>
      <c r="E280" s="5">
        <f>146055+250000+221000+50000-221000</f>
        <v>446055</v>
      </c>
      <c r="F280" s="4" t="s">
        <v>237</v>
      </c>
      <c r="G280" s="4" t="s">
        <v>238</v>
      </c>
    </row>
    <row r="281" spans="1:12" x14ac:dyDescent="0.25">
      <c r="A281" s="6" t="s">
        <v>233</v>
      </c>
      <c r="B281" s="6" t="s">
        <v>55</v>
      </c>
      <c r="D281" s="4" t="s">
        <v>56</v>
      </c>
      <c r="E281" s="5">
        <v>28112</v>
      </c>
      <c r="F281" s="4" t="s">
        <v>239</v>
      </c>
      <c r="G281" s="4" t="s">
        <v>240</v>
      </c>
      <c r="L281" s="4" t="s">
        <v>241</v>
      </c>
    </row>
    <row r="282" spans="1:12" x14ac:dyDescent="0.25">
      <c r="A282" s="6" t="s">
        <v>233</v>
      </c>
      <c r="B282" s="6" t="s">
        <v>32</v>
      </c>
      <c r="D282" s="4" t="s">
        <v>33</v>
      </c>
      <c r="E282" s="5">
        <v>45759</v>
      </c>
      <c r="F282" s="4" t="s">
        <v>239</v>
      </c>
      <c r="G282" s="4" t="s">
        <v>242</v>
      </c>
      <c r="L282" s="4" t="s">
        <v>241</v>
      </c>
    </row>
    <row r="283" spans="1:12" x14ac:dyDescent="0.25">
      <c r="A283" s="6" t="s">
        <v>233</v>
      </c>
      <c r="B283" s="11" t="s">
        <v>34</v>
      </c>
      <c r="D283" s="4" t="s">
        <v>57</v>
      </c>
      <c r="E283" s="15">
        <f>35000+55000</f>
        <v>90000</v>
      </c>
      <c r="F283" s="4" t="s">
        <v>243</v>
      </c>
      <c r="G283" s="4" t="s">
        <v>244</v>
      </c>
    </row>
    <row r="284" spans="1:12" x14ac:dyDescent="0.25">
      <c r="A284" s="6" t="s">
        <v>233</v>
      </c>
      <c r="B284" s="11" t="s">
        <v>245</v>
      </c>
      <c r="D284" s="4" t="s">
        <v>246</v>
      </c>
      <c r="E284" s="5">
        <v>0</v>
      </c>
      <c r="F284" s="4" t="s">
        <v>247</v>
      </c>
      <c r="G284" s="16" t="s">
        <v>248</v>
      </c>
      <c r="H284" s="17"/>
      <c r="I284" s="17"/>
      <c r="J284" s="17"/>
      <c r="K284" s="17"/>
      <c r="L284" s="17"/>
    </row>
    <row r="285" spans="1:12" x14ac:dyDescent="0.25">
      <c r="A285" s="6" t="s">
        <v>233</v>
      </c>
      <c r="B285" s="11" t="s">
        <v>249</v>
      </c>
      <c r="D285" s="4" t="s">
        <v>250</v>
      </c>
      <c r="E285" s="5">
        <f>2000*6-12000</f>
        <v>0</v>
      </c>
      <c r="F285" s="4" t="s">
        <v>251</v>
      </c>
      <c r="G285" s="18" t="s">
        <v>252</v>
      </c>
      <c r="J285" s="17" t="s">
        <v>253</v>
      </c>
      <c r="K285" s="17"/>
      <c r="L285" s="17"/>
    </row>
    <row r="286" spans="1:12" x14ac:dyDescent="0.25">
      <c r="A286" s="6" t="s">
        <v>233</v>
      </c>
      <c r="B286" s="6" t="s">
        <v>254</v>
      </c>
      <c r="D286" s="4" t="s">
        <v>255</v>
      </c>
      <c r="E286" s="5">
        <f>1894+3106+1000-4000</f>
        <v>2000</v>
      </c>
      <c r="G286" s="18"/>
    </row>
    <row r="287" spans="1:12" x14ac:dyDescent="0.25">
      <c r="A287" s="6" t="s">
        <v>233</v>
      </c>
      <c r="B287" s="6" t="s">
        <v>14</v>
      </c>
      <c r="D287" s="4" t="s">
        <v>15</v>
      </c>
      <c r="E287" s="5">
        <v>220869</v>
      </c>
      <c r="F287" s="4" t="s">
        <v>256</v>
      </c>
      <c r="G287" s="18"/>
    </row>
    <row r="288" spans="1:12" x14ac:dyDescent="0.25">
      <c r="A288" s="6" t="s">
        <v>233</v>
      </c>
      <c r="B288" s="11" t="s">
        <v>25</v>
      </c>
      <c r="D288" s="4" t="s">
        <v>58</v>
      </c>
      <c r="E288" s="15">
        <f>10000-10000+52880-150</f>
        <v>52730</v>
      </c>
      <c r="F288" s="4" t="s">
        <v>257</v>
      </c>
      <c r="G288" s="18"/>
    </row>
    <row r="289" spans="1:10" x14ac:dyDescent="0.25">
      <c r="A289" s="6" t="s">
        <v>233</v>
      </c>
      <c r="B289" s="11" t="s">
        <v>258</v>
      </c>
      <c r="D289" s="4" t="s">
        <v>259</v>
      </c>
      <c r="E289" s="5">
        <v>2000</v>
      </c>
      <c r="F289" s="4" t="s">
        <v>260</v>
      </c>
      <c r="G289" s="18"/>
    </row>
    <row r="290" spans="1:10" x14ac:dyDescent="0.25">
      <c r="A290" s="6" t="s">
        <v>233</v>
      </c>
      <c r="B290" s="6" t="s">
        <v>17</v>
      </c>
      <c r="D290" s="4" t="s">
        <v>18</v>
      </c>
      <c r="E290" s="5">
        <f>(E287+E288+E289)*B3801</f>
        <v>17087.137999999999</v>
      </c>
      <c r="G290" s="18"/>
    </row>
    <row r="291" spans="1:10" x14ac:dyDescent="0.25">
      <c r="A291" s="6" t="s">
        <v>233</v>
      </c>
      <c r="B291" s="6" t="s">
        <v>19</v>
      </c>
      <c r="D291" s="4" t="s">
        <v>20</v>
      </c>
      <c r="E291" s="5">
        <f>SUM(E280:E289)*B3802</f>
        <v>12869.112500000001</v>
      </c>
      <c r="G291" s="18"/>
    </row>
    <row r="292" spans="1:10" x14ac:dyDescent="0.25">
      <c r="A292" s="6" t="s">
        <v>233</v>
      </c>
      <c r="B292" s="6" t="s">
        <v>40</v>
      </c>
      <c r="D292" s="4" t="s">
        <v>60</v>
      </c>
      <c r="E292" s="5">
        <f>SUM(E280:E286)*B3799</f>
        <v>18357.78</v>
      </c>
      <c r="G292" s="18"/>
    </row>
    <row r="293" spans="1:10" x14ac:dyDescent="0.25">
      <c r="A293" s="6" t="s">
        <v>233</v>
      </c>
      <c r="B293" s="6" t="s">
        <v>21</v>
      </c>
      <c r="D293" s="4" t="s">
        <v>22</v>
      </c>
      <c r="E293" s="5">
        <f>(E287+E288+E289)*B3803</f>
        <v>64324.806599999996</v>
      </c>
    </row>
    <row r="294" spans="1:10" x14ac:dyDescent="0.25">
      <c r="A294" s="6" t="s">
        <v>233</v>
      </c>
      <c r="B294" s="11" t="s">
        <v>261</v>
      </c>
      <c r="D294" s="4" t="s">
        <v>262</v>
      </c>
      <c r="E294" s="15">
        <f>11650000+2000000</f>
        <v>13650000</v>
      </c>
      <c r="F294" s="4" t="s">
        <v>263</v>
      </c>
    </row>
    <row r="295" spans="1:10" x14ac:dyDescent="0.25">
      <c r="A295" s="6" t="s">
        <v>233</v>
      </c>
      <c r="B295" s="11" t="s">
        <v>42</v>
      </c>
      <c r="D295" s="4" t="s">
        <v>264</v>
      </c>
      <c r="E295" s="5">
        <v>0</v>
      </c>
    </row>
    <row r="296" spans="1:10" x14ac:dyDescent="0.25">
      <c r="A296" s="6" t="s">
        <v>233</v>
      </c>
      <c r="B296" s="6" t="s">
        <v>44</v>
      </c>
      <c r="D296" s="4" t="s">
        <v>120</v>
      </c>
      <c r="E296" s="15">
        <f>50000+21000+13420+500</f>
        <v>84920</v>
      </c>
      <c r="F296" s="4" t="s">
        <v>265</v>
      </c>
      <c r="I296" s="4" t="s">
        <v>266</v>
      </c>
    </row>
    <row r="297" spans="1:10" x14ac:dyDescent="0.25">
      <c r="A297" s="6" t="s">
        <v>233</v>
      </c>
      <c r="B297" s="19" t="s">
        <v>267</v>
      </c>
      <c r="D297" s="4" t="s">
        <v>268</v>
      </c>
      <c r="E297" s="5">
        <f>250000-200000</f>
        <v>50000</v>
      </c>
      <c r="F297" s="4" t="s">
        <v>269</v>
      </c>
      <c r="I297" s="4" t="s">
        <v>270</v>
      </c>
      <c r="J297" s="4" t="s">
        <v>271</v>
      </c>
    </row>
    <row r="298" spans="1:10" x14ac:dyDescent="0.25">
      <c r="A298" s="6" t="s">
        <v>233</v>
      </c>
      <c r="B298" s="11" t="s">
        <v>66</v>
      </c>
      <c r="D298" s="4" t="s">
        <v>121</v>
      </c>
      <c r="E298" s="5">
        <f>850-850</f>
        <v>0</v>
      </c>
      <c r="J298" s="4" t="s">
        <v>272</v>
      </c>
    </row>
    <row r="299" spans="1:10" x14ac:dyDescent="0.25">
      <c r="A299" s="6" t="s">
        <v>233</v>
      </c>
      <c r="B299" s="11" t="s">
        <v>273</v>
      </c>
      <c r="D299" s="4" t="s">
        <v>274</v>
      </c>
      <c r="E299" s="5">
        <f>1000-1000</f>
        <v>0</v>
      </c>
      <c r="J299" s="4" t="s">
        <v>275</v>
      </c>
    </row>
    <row r="300" spans="1:10" x14ac:dyDescent="0.25">
      <c r="A300" s="6" t="s">
        <v>233</v>
      </c>
      <c r="B300" s="11" t="s">
        <v>276</v>
      </c>
      <c r="D300" s="4" t="s">
        <v>277</v>
      </c>
      <c r="E300" s="15">
        <f>40000</f>
        <v>40000</v>
      </c>
      <c r="F300" s="4" t="s">
        <v>278</v>
      </c>
    </row>
    <row r="301" spans="1:10" x14ac:dyDescent="0.25">
      <c r="A301" s="20" t="s">
        <v>279</v>
      </c>
      <c r="B301" s="20" t="s">
        <v>280</v>
      </c>
      <c r="D301" s="4" t="s">
        <v>277</v>
      </c>
      <c r="E301" s="15">
        <f>50000+50000</f>
        <v>100000</v>
      </c>
      <c r="F301" s="4" t="s">
        <v>281</v>
      </c>
    </row>
    <row r="302" spans="1:10" x14ac:dyDescent="0.25">
      <c r="A302" s="6" t="s">
        <v>233</v>
      </c>
      <c r="B302" s="11" t="s">
        <v>276</v>
      </c>
      <c r="D302" s="4" t="s">
        <v>277</v>
      </c>
      <c r="E302" s="15">
        <v>15000</v>
      </c>
      <c r="F302" s="4" t="s">
        <v>282</v>
      </c>
    </row>
    <row r="303" spans="1:10" x14ac:dyDescent="0.25">
      <c r="A303" s="6" t="s">
        <v>233</v>
      </c>
      <c r="B303" s="11" t="s">
        <v>70</v>
      </c>
      <c r="D303" s="4" t="s">
        <v>283</v>
      </c>
      <c r="E303" s="5">
        <f>1500-1500</f>
        <v>0</v>
      </c>
    </row>
    <row r="304" spans="1:10" x14ac:dyDescent="0.25">
      <c r="A304" s="6" t="s">
        <v>233</v>
      </c>
      <c r="B304" s="6" t="s">
        <v>46</v>
      </c>
      <c r="D304" s="4" t="s">
        <v>47</v>
      </c>
      <c r="E304" s="15">
        <f>30000+1200-9309.41</f>
        <v>21890.59</v>
      </c>
      <c r="F304" s="4" t="s">
        <v>284</v>
      </c>
      <c r="J304" s="4" t="s">
        <v>285</v>
      </c>
    </row>
    <row r="305" spans="1:8" x14ac:dyDescent="0.25">
      <c r="A305" s="6" t="s">
        <v>233</v>
      </c>
      <c r="B305" s="11" t="s">
        <v>72</v>
      </c>
      <c r="D305" s="4" t="s">
        <v>111</v>
      </c>
      <c r="E305" s="5">
        <f>6000+2000+1500</f>
        <v>9500</v>
      </c>
      <c r="F305" s="4" t="s">
        <v>286</v>
      </c>
      <c r="G305" s="4" t="s">
        <v>287</v>
      </c>
    </row>
    <row r="306" spans="1:8" x14ac:dyDescent="0.25">
      <c r="A306" s="6" t="s">
        <v>233</v>
      </c>
      <c r="B306" s="6" t="s">
        <v>288</v>
      </c>
      <c r="D306" s="4" t="s">
        <v>47</v>
      </c>
      <c r="E306" s="5">
        <f>8000+4000</f>
        <v>12000</v>
      </c>
      <c r="F306" s="4" t="s">
        <v>289</v>
      </c>
      <c r="H306" s="4" t="s">
        <v>290</v>
      </c>
    </row>
    <row r="307" spans="1:8" x14ac:dyDescent="0.25">
      <c r="A307" s="6" t="s">
        <v>233</v>
      </c>
      <c r="B307" s="11" t="s">
        <v>291</v>
      </c>
      <c r="D307" s="4" t="s">
        <v>47</v>
      </c>
      <c r="E307" s="5">
        <v>2500</v>
      </c>
      <c r="F307" s="4" t="s">
        <v>292</v>
      </c>
    </row>
    <row r="308" spans="1:8" x14ac:dyDescent="0.25">
      <c r="A308" s="6" t="s">
        <v>233</v>
      </c>
      <c r="B308" s="11" t="s">
        <v>288</v>
      </c>
      <c r="D308" s="4" t="s">
        <v>111</v>
      </c>
      <c r="E308" s="5">
        <v>1250</v>
      </c>
      <c r="F308" s="4" t="s">
        <v>292</v>
      </c>
    </row>
    <row r="309" spans="1:8" x14ac:dyDescent="0.25">
      <c r="A309" s="6" t="s">
        <v>233</v>
      </c>
      <c r="B309" s="11" t="s">
        <v>293</v>
      </c>
      <c r="D309" s="4" t="s">
        <v>230</v>
      </c>
      <c r="E309" s="5">
        <v>1250</v>
      </c>
      <c r="F309" s="4" t="s">
        <v>292</v>
      </c>
    </row>
    <row r="310" spans="1:8" x14ac:dyDescent="0.25">
      <c r="A310" s="6" t="s">
        <v>233</v>
      </c>
      <c r="B310" s="11" t="s">
        <v>94</v>
      </c>
      <c r="D310" s="4" t="s">
        <v>294</v>
      </c>
      <c r="E310" s="37">
        <f>500000+250000</f>
        <v>750000</v>
      </c>
      <c r="F310" s="4" t="s">
        <v>295</v>
      </c>
    </row>
    <row r="311" spans="1:8" x14ac:dyDescent="0.25">
      <c r="A311" s="6" t="s">
        <v>233</v>
      </c>
      <c r="B311" s="11" t="s">
        <v>76</v>
      </c>
      <c r="D311" s="4" t="s">
        <v>296</v>
      </c>
      <c r="E311" s="5">
        <f>2500-2500</f>
        <v>0</v>
      </c>
    </row>
    <row r="312" spans="1:8" x14ac:dyDescent="0.25">
      <c r="A312" s="6" t="s">
        <v>233</v>
      </c>
      <c r="B312" s="11" t="s">
        <v>112</v>
      </c>
      <c r="D312" s="4" t="s">
        <v>297</v>
      </c>
      <c r="E312" s="5">
        <v>0</v>
      </c>
    </row>
    <row r="313" spans="1:8" x14ac:dyDescent="0.25">
      <c r="A313" s="6" t="s">
        <v>233</v>
      </c>
      <c r="B313" s="11" t="s">
        <v>78</v>
      </c>
      <c r="D313" s="4" t="s">
        <v>230</v>
      </c>
      <c r="E313" s="5">
        <f>190000-190000</f>
        <v>0</v>
      </c>
    </row>
    <row r="314" spans="1:8" x14ac:dyDescent="0.25">
      <c r="A314" s="6" t="s">
        <v>233</v>
      </c>
      <c r="B314" s="11" t="s">
        <v>78</v>
      </c>
      <c r="D314" s="4" t="s">
        <v>230</v>
      </c>
      <c r="E314" s="5">
        <f>100000-100000</f>
        <v>0</v>
      </c>
    </row>
    <row r="315" spans="1:8" x14ac:dyDescent="0.25">
      <c r="A315" s="6" t="s">
        <v>233</v>
      </c>
      <c r="B315" s="11" t="s">
        <v>80</v>
      </c>
      <c r="D315" s="4" t="s">
        <v>81</v>
      </c>
      <c r="E315" s="5">
        <f>165702.95-165702.95</f>
        <v>0</v>
      </c>
    </row>
    <row r="316" spans="1:8" x14ac:dyDescent="0.25">
      <c r="A316" s="6" t="s">
        <v>233</v>
      </c>
      <c r="B316" s="11" t="s">
        <v>298</v>
      </c>
      <c r="D316" s="4" t="s">
        <v>299</v>
      </c>
      <c r="E316" s="5">
        <f>4400-4400</f>
        <v>0</v>
      </c>
      <c r="F316" s="4" t="s">
        <v>300</v>
      </c>
    </row>
    <row r="317" spans="1:8" x14ac:dyDescent="0.25">
      <c r="A317" s="6" t="s">
        <v>233</v>
      </c>
      <c r="B317" s="11" t="s">
        <v>44</v>
      </c>
      <c r="D317" s="4" t="s">
        <v>301</v>
      </c>
      <c r="E317" s="5">
        <f>70000-70000</f>
        <v>0</v>
      </c>
      <c r="F317" s="4" t="s">
        <v>302</v>
      </c>
      <c r="G317" s="4" t="s">
        <v>303</v>
      </c>
    </row>
    <row r="318" spans="1:8" x14ac:dyDescent="0.25">
      <c r="A318" s="6"/>
      <c r="B318" s="11"/>
      <c r="D318" s="4" t="s">
        <v>304</v>
      </c>
    </row>
    <row r="319" spans="1:8" x14ac:dyDescent="0.25">
      <c r="A319" s="6" t="s">
        <v>305</v>
      </c>
      <c r="B319" s="6" t="s">
        <v>4</v>
      </c>
      <c r="C319" s="6" t="s">
        <v>4</v>
      </c>
      <c r="D319" s="4" t="s">
        <v>4</v>
      </c>
      <c r="E319" s="5">
        <f>SUM(E278:E317)</f>
        <v>15738474.427099999</v>
      </c>
    </row>
    <row r="321" spans="1:6" hidden="1" x14ac:dyDescent="0.25">
      <c r="A321" s="6" t="s">
        <v>306</v>
      </c>
    </row>
    <row r="322" spans="1:6" hidden="1" x14ac:dyDescent="0.25">
      <c r="A322" s="6" t="s">
        <v>12</v>
      </c>
    </row>
    <row r="323" spans="1:6" hidden="1" x14ac:dyDescent="0.25">
      <c r="A323" s="6" t="s">
        <v>307</v>
      </c>
      <c r="B323" s="6" t="s">
        <v>53</v>
      </c>
      <c r="D323" s="4" t="s">
        <v>54</v>
      </c>
      <c r="E323" s="5">
        <f>7000-7000</f>
        <v>0</v>
      </c>
      <c r="F323" s="4" t="s">
        <v>308</v>
      </c>
    </row>
    <row r="324" spans="1:6" hidden="1" x14ac:dyDescent="0.25">
      <c r="A324" s="6" t="s">
        <v>307</v>
      </c>
      <c r="B324" s="6" t="s">
        <v>55</v>
      </c>
      <c r="D324" s="4" t="s">
        <v>56</v>
      </c>
      <c r="E324" s="5">
        <f>4530-4530</f>
        <v>0</v>
      </c>
    </row>
    <row r="325" spans="1:6" hidden="1" x14ac:dyDescent="0.25">
      <c r="A325" s="6" t="s">
        <v>307</v>
      </c>
      <c r="B325" s="11" t="s">
        <v>34</v>
      </c>
      <c r="D325" s="4" t="s">
        <v>57</v>
      </c>
      <c r="E325" s="5">
        <f>1000-1000</f>
        <v>0</v>
      </c>
      <c r="F325" s="4" t="s">
        <v>308</v>
      </c>
    </row>
    <row r="326" spans="1:6" hidden="1" x14ac:dyDescent="0.25">
      <c r="A326" s="6" t="s">
        <v>307</v>
      </c>
      <c r="B326" s="6" t="s">
        <v>14</v>
      </c>
      <c r="D326" s="4" t="s">
        <v>15</v>
      </c>
      <c r="E326" s="5">
        <v>0</v>
      </c>
      <c r="F326" s="4" t="s">
        <v>4</v>
      </c>
    </row>
    <row r="327" spans="1:6" hidden="1" x14ac:dyDescent="0.25">
      <c r="A327" s="6" t="s">
        <v>307</v>
      </c>
      <c r="B327" s="6" t="s">
        <v>17</v>
      </c>
      <c r="D327" s="4" t="s">
        <v>18</v>
      </c>
      <c r="E327" s="5">
        <f>E326*B3801</f>
        <v>0</v>
      </c>
      <c r="F327" s="4" t="s">
        <v>4</v>
      </c>
    </row>
    <row r="328" spans="1:6" hidden="1" x14ac:dyDescent="0.25">
      <c r="A328" s="6" t="s">
        <v>307</v>
      </c>
      <c r="B328" s="6" t="s">
        <v>19</v>
      </c>
      <c r="D328" s="4" t="s">
        <v>20</v>
      </c>
      <c r="E328" s="5">
        <f>SUM(E323:E326)*B3802</f>
        <v>0</v>
      </c>
      <c r="F328" s="4" t="s">
        <v>4</v>
      </c>
    </row>
    <row r="329" spans="1:6" hidden="1" x14ac:dyDescent="0.25">
      <c r="A329" s="6" t="s">
        <v>307</v>
      </c>
      <c r="B329" s="11" t="s">
        <v>40</v>
      </c>
      <c r="D329" s="4" t="s">
        <v>60</v>
      </c>
      <c r="E329" s="5">
        <f>SUM(E323:E325)*B3799</f>
        <v>0</v>
      </c>
    </row>
    <row r="330" spans="1:6" hidden="1" x14ac:dyDescent="0.25">
      <c r="A330" s="6" t="s">
        <v>307</v>
      </c>
      <c r="B330" s="6" t="s">
        <v>21</v>
      </c>
      <c r="D330" s="4" t="s">
        <v>22</v>
      </c>
      <c r="E330" s="5">
        <f>E326*B3803</f>
        <v>0</v>
      </c>
    </row>
    <row r="331" spans="1:6" hidden="1" x14ac:dyDescent="0.25">
      <c r="A331" s="6" t="s">
        <v>307</v>
      </c>
      <c r="B331" s="11" t="s">
        <v>61</v>
      </c>
      <c r="D331" s="4" t="s">
        <v>62</v>
      </c>
      <c r="F331" s="4" t="s">
        <v>309</v>
      </c>
    </row>
    <row r="332" spans="1:6" hidden="1" x14ac:dyDescent="0.25">
      <c r="A332" s="6" t="s">
        <v>307</v>
      </c>
      <c r="B332" s="11" t="s">
        <v>44</v>
      </c>
      <c r="D332" s="4" t="s">
        <v>120</v>
      </c>
    </row>
    <row r="333" spans="1:6" hidden="1" x14ac:dyDescent="0.25">
      <c r="A333" s="6" t="s">
        <v>307</v>
      </c>
      <c r="B333" s="11" t="s">
        <v>66</v>
      </c>
      <c r="D333" s="4" t="s">
        <v>310</v>
      </c>
    </row>
    <row r="334" spans="1:6" hidden="1" x14ac:dyDescent="0.25">
      <c r="A334" s="6" t="s">
        <v>307</v>
      </c>
      <c r="B334" s="11" t="s">
        <v>46</v>
      </c>
      <c r="D334" s="4" t="s">
        <v>47</v>
      </c>
    </row>
    <row r="335" spans="1:6" hidden="1" x14ac:dyDescent="0.25">
      <c r="A335" s="6" t="s">
        <v>307</v>
      </c>
      <c r="B335" s="11" t="s">
        <v>72</v>
      </c>
      <c r="D335" s="4" t="s">
        <v>111</v>
      </c>
    </row>
    <row r="336" spans="1:6" hidden="1" x14ac:dyDescent="0.25">
      <c r="A336" s="6" t="s">
        <v>307</v>
      </c>
      <c r="B336" s="11" t="s">
        <v>94</v>
      </c>
      <c r="D336" s="4" t="s">
        <v>95</v>
      </c>
    </row>
    <row r="337" spans="1:6" hidden="1" x14ac:dyDescent="0.25">
      <c r="A337" s="6" t="s">
        <v>307</v>
      </c>
      <c r="B337" s="11" t="s">
        <v>112</v>
      </c>
      <c r="D337" s="4" t="s">
        <v>311</v>
      </c>
    </row>
    <row r="338" spans="1:6" hidden="1" x14ac:dyDescent="0.25">
      <c r="A338" s="6" t="s">
        <v>307</v>
      </c>
      <c r="B338" s="11" t="s">
        <v>78</v>
      </c>
      <c r="D338" s="4" t="s">
        <v>113</v>
      </c>
    </row>
    <row r="339" spans="1:6" hidden="1" x14ac:dyDescent="0.25">
      <c r="A339" s="6" t="s">
        <v>307</v>
      </c>
      <c r="B339" s="11" t="s">
        <v>80</v>
      </c>
      <c r="D339" s="4" t="s">
        <v>81</v>
      </c>
    </row>
    <row r="340" spans="1:6" hidden="1" x14ac:dyDescent="0.25">
      <c r="A340" s="6" t="s">
        <v>307</v>
      </c>
      <c r="B340" s="11" t="s">
        <v>298</v>
      </c>
      <c r="D340" s="4" t="s">
        <v>299</v>
      </c>
    </row>
    <row r="341" spans="1:6" hidden="1" x14ac:dyDescent="0.25"/>
    <row r="342" spans="1:6" hidden="1" x14ac:dyDescent="0.25">
      <c r="A342" s="6" t="s">
        <v>312</v>
      </c>
      <c r="B342" s="6" t="s">
        <v>4</v>
      </c>
      <c r="C342" s="6" t="s">
        <v>4</v>
      </c>
      <c r="D342" s="4" t="s">
        <v>4</v>
      </c>
      <c r="E342" s="5">
        <f>SUM(E323:E340)</f>
        <v>0</v>
      </c>
    </row>
    <row r="343" spans="1:6" hidden="1" x14ac:dyDescent="0.25"/>
    <row r="344" spans="1:6" x14ac:dyDescent="0.25">
      <c r="A344" s="6" t="s">
        <v>313</v>
      </c>
    </row>
    <row r="345" spans="1:6" x14ac:dyDescent="0.25">
      <c r="A345" s="6" t="s">
        <v>12</v>
      </c>
    </row>
    <row r="346" spans="1:6" x14ac:dyDescent="0.25">
      <c r="A346" s="6" t="s">
        <v>314</v>
      </c>
      <c r="B346" s="11" t="s">
        <v>53</v>
      </c>
      <c r="D346" s="4" t="s">
        <v>54</v>
      </c>
      <c r="E346" s="5">
        <v>17078</v>
      </c>
      <c r="F346" s="4" t="s">
        <v>315</v>
      </c>
    </row>
    <row r="347" spans="1:6" x14ac:dyDescent="0.25">
      <c r="A347" s="6" t="s">
        <v>314</v>
      </c>
      <c r="B347" s="11" t="s">
        <v>55</v>
      </c>
      <c r="D347" s="4" t="s">
        <v>56</v>
      </c>
      <c r="E347" s="5">
        <v>4616</v>
      </c>
    </row>
    <row r="348" spans="1:6" x14ac:dyDescent="0.25">
      <c r="A348" s="6" t="s">
        <v>314</v>
      </c>
      <c r="B348" s="11" t="s">
        <v>32</v>
      </c>
      <c r="D348" s="4" t="s">
        <v>33</v>
      </c>
      <c r="E348" s="5">
        <v>3732</v>
      </c>
    </row>
    <row r="349" spans="1:6" x14ac:dyDescent="0.25">
      <c r="A349" s="6" t="s">
        <v>314</v>
      </c>
      <c r="B349" s="11" t="s">
        <v>34</v>
      </c>
      <c r="D349" s="4" t="s">
        <v>57</v>
      </c>
      <c r="E349" s="5">
        <v>2000</v>
      </c>
    </row>
    <row r="350" spans="1:6" x14ac:dyDescent="0.25">
      <c r="A350" s="6" t="s">
        <v>314</v>
      </c>
      <c r="B350" s="6" t="s">
        <v>19</v>
      </c>
      <c r="D350" s="4" t="s">
        <v>20</v>
      </c>
      <c r="E350" s="5">
        <f>SUM(E346:E349)*B3802</f>
        <v>397.67700000000002</v>
      </c>
      <c r="F350" s="4" t="s">
        <v>4</v>
      </c>
    </row>
    <row r="351" spans="1:6" x14ac:dyDescent="0.25">
      <c r="A351" s="6" t="s">
        <v>314</v>
      </c>
      <c r="B351" s="6" t="s">
        <v>40</v>
      </c>
      <c r="D351" s="4" t="s">
        <v>60</v>
      </c>
      <c r="E351" s="5">
        <f>SUM(E346:E349)*B3799</f>
        <v>822.78</v>
      </c>
      <c r="F351" s="4" t="s">
        <v>4</v>
      </c>
    </row>
    <row r="352" spans="1:6" x14ac:dyDescent="0.25">
      <c r="A352" s="6" t="s">
        <v>314</v>
      </c>
      <c r="B352" s="11" t="s">
        <v>316</v>
      </c>
      <c r="D352" s="4" t="s">
        <v>317</v>
      </c>
      <c r="E352" s="5">
        <v>0</v>
      </c>
    </row>
    <row r="354" spans="1:6" x14ac:dyDescent="0.25">
      <c r="A354" s="6" t="s">
        <v>318</v>
      </c>
      <c r="B354" s="6" t="s">
        <v>4</v>
      </c>
      <c r="C354" s="6" t="s">
        <v>4</v>
      </c>
      <c r="D354" s="4" t="s">
        <v>4</v>
      </c>
      <c r="E354" s="5">
        <f>SUM(E346:E352)</f>
        <v>28646.456999999999</v>
      </c>
    </row>
    <row r="356" spans="1:6" hidden="1" x14ac:dyDescent="0.25">
      <c r="A356" s="6" t="s">
        <v>319</v>
      </c>
    </row>
    <row r="357" spans="1:6" hidden="1" x14ac:dyDescent="0.25">
      <c r="A357" s="6" t="s">
        <v>12</v>
      </c>
    </row>
    <row r="358" spans="1:6" hidden="1" x14ac:dyDescent="0.25">
      <c r="A358" s="6" t="s">
        <v>320</v>
      </c>
      <c r="B358" s="6" t="s">
        <v>34</v>
      </c>
      <c r="D358" s="4" t="s">
        <v>57</v>
      </c>
      <c r="E358" s="5">
        <v>0</v>
      </c>
    </row>
    <row r="359" spans="1:6" hidden="1" x14ac:dyDescent="0.25">
      <c r="A359" s="6" t="s">
        <v>320</v>
      </c>
      <c r="B359" s="6" t="s">
        <v>19</v>
      </c>
      <c r="D359" s="4" t="s">
        <v>20</v>
      </c>
      <c r="E359" s="5">
        <f>E358*B3798</f>
        <v>0</v>
      </c>
    </row>
    <row r="360" spans="1:6" hidden="1" x14ac:dyDescent="0.25">
      <c r="A360" s="6" t="s">
        <v>320</v>
      </c>
      <c r="B360" s="11" t="s">
        <v>40</v>
      </c>
      <c r="D360" s="4" t="s">
        <v>60</v>
      </c>
      <c r="E360" s="5">
        <f>E358*B3799</f>
        <v>0</v>
      </c>
    </row>
    <row r="361" spans="1:6" hidden="1" x14ac:dyDescent="0.25">
      <c r="A361" s="6" t="s">
        <v>320</v>
      </c>
      <c r="B361" s="6" t="s">
        <v>44</v>
      </c>
      <c r="D361" s="4" t="s">
        <v>120</v>
      </c>
      <c r="E361" s="5">
        <v>0</v>
      </c>
      <c r="F361" s="4" t="s">
        <v>321</v>
      </c>
    </row>
    <row r="362" spans="1:6" hidden="1" x14ac:dyDescent="0.25">
      <c r="A362" s="6" t="s">
        <v>320</v>
      </c>
      <c r="B362" s="6" t="s">
        <v>136</v>
      </c>
      <c r="D362" s="4" t="s">
        <v>137</v>
      </c>
      <c r="F362" s="4" t="s">
        <v>322</v>
      </c>
    </row>
    <row r="363" spans="1:6" hidden="1" x14ac:dyDescent="0.25">
      <c r="A363" s="6" t="s">
        <v>320</v>
      </c>
      <c r="B363" s="6" t="s">
        <v>273</v>
      </c>
      <c r="D363" s="4" t="s">
        <v>323</v>
      </c>
      <c r="F363" s="4" t="s">
        <v>4</v>
      </c>
    </row>
    <row r="364" spans="1:6" hidden="1" x14ac:dyDescent="0.25">
      <c r="A364" s="6" t="s">
        <v>320</v>
      </c>
      <c r="B364" s="6" t="s">
        <v>276</v>
      </c>
      <c r="D364" s="4" t="s">
        <v>324</v>
      </c>
      <c r="E364" s="5">
        <v>0</v>
      </c>
      <c r="F364" s="4" t="s">
        <v>325</v>
      </c>
    </row>
    <row r="365" spans="1:6" hidden="1" x14ac:dyDescent="0.25">
      <c r="A365" s="6" t="s">
        <v>320</v>
      </c>
      <c r="B365" s="6" t="s">
        <v>326</v>
      </c>
      <c r="D365" s="4" t="s">
        <v>327</v>
      </c>
      <c r="E365" s="5">
        <v>0</v>
      </c>
    </row>
    <row r="366" spans="1:6" hidden="1" x14ac:dyDescent="0.25">
      <c r="A366" s="6" t="s">
        <v>320</v>
      </c>
      <c r="B366" s="6" t="s">
        <v>328</v>
      </c>
      <c r="D366" s="4" t="s">
        <v>329</v>
      </c>
      <c r="E366" s="5">
        <v>0</v>
      </c>
      <c r="F366" s="4" t="s">
        <v>4</v>
      </c>
    </row>
    <row r="367" spans="1:6" hidden="1" x14ac:dyDescent="0.25">
      <c r="A367" s="6" t="s">
        <v>320</v>
      </c>
      <c r="B367" s="6" t="s">
        <v>46</v>
      </c>
      <c r="D367" s="4" t="s">
        <v>47</v>
      </c>
      <c r="E367" s="5">
        <v>0</v>
      </c>
      <c r="F367" s="4" t="s">
        <v>4</v>
      </c>
    </row>
    <row r="368" spans="1:6" hidden="1" x14ac:dyDescent="0.25"/>
    <row r="369" spans="1:6" hidden="1" x14ac:dyDescent="0.25">
      <c r="A369" s="6" t="s">
        <v>330</v>
      </c>
      <c r="B369" s="6" t="s">
        <v>4</v>
      </c>
      <c r="C369" s="6" t="s">
        <v>4</v>
      </c>
      <c r="D369" s="4" t="s">
        <v>4</v>
      </c>
      <c r="E369" s="5">
        <f>SUM(E358:E367)</f>
        <v>0</v>
      </c>
    </row>
    <row r="370" spans="1:6" hidden="1" x14ac:dyDescent="0.25"/>
    <row r="371" spans="1:6" x14ac:dyDescent="0.25">
      <c r="A371" s="6" t="s">
        <v>331</v>
      </c>
    </row>
    <row r="373" spans="1:6" x14ac:dyDescent="0.25">
      <c r="A373" s="12" t="s">
        <v>332</v>
      </c>
      <c r="B373" s="12" t="s">
        <v>53</v>
      </c>
      <c r="D373" s="4" t="s">
        <v>54</v>
      </c>
      <c r="E373" s="5">
        <v>51233</v>
      </c>
      <c r="F373" s="4" t="s">
        <v>315</v>
      </c>
    </row>
    <row r="374" spans="1:6" x14ac:dyDescent="0.25">
      <c r="A374" s="12" t="s">
        <v>332</v>
      </c>
      <c r="B374" s="11" t="s">
        <v>55</v>
      </c>
      <c r="D374" s="4" t="s">
        <v>56</v>
      </c>
      <c r="E374" s="5">
        <v>13847</v>
      </c>
    </row>
    <row r="375" spans="1:6" x14ac:dyDescent="0.25">
      <c r="A375" s="12" t="s">
        <v>332</v>
      </c>
      <c r="B375" s="11" t="s">
        <v>32</v>
      </c>
      <c r="D375" s="4" t="s">
        <v>33</v>
      </c>
      <c r="E375" s="5">
        <v>11196</v>
      </c>
    </row>
    <row r="376" spans="1:6" x14ac:dyDescent="0.25">
      <c r="A376" s="12" t="s">
        <v>332</v>
      </c>
      <c r="B376" s="12" t="s">
        <v>34</v>
      </c>
      <c r="D376" s="4" t="s">
        <v>57</v>
      </c>
      <c r="E376" s="5">
        <f>959+3041</f>
        <v>4000</v>
      </c>
    </row>
    <row r="377" spans="1:6" x14ac:dyDescent="0.25">
      <c r="A377" s="12" t="s">
        <v>332</v>
      </c>
      <c r="B377" s="12" t="s">
        <v>254</v>
      </c>
      <c r="D377" s="4" t="s">
        <v>255</v>
      </c>
      <c r="E377" s="5">
        <f>3500-2500</f>
        <v>1000</v>
      </c>
    </row>
    <row r="378" spans="1:6" x14ac:dyDescent="0.25">
      <c r="A378" s="12" t="s">
        <v>332</v>
      </c>
      <c r="B378" s="12" t="s">
        <v>14</v>
      </c>
      <c r="D378" s="4" t="s">
        <v>15</v>
      </c>
      <c r="E378" s="5">
        <v>131620</v>
      </c>
    </row>
    <row r="379" spans="1:6" x14ac:dyDescent="0.25">
      <c r="A379" s="12" t="s">
        <v>332</v>
      </c>
      <c r="B379" s="12" t="s">
        <v>14</v>
      </c>
      <c r="D379" s="4" t="s">
        <v>15</v>
      </c>
      <c r="E379" s="5">
        <f>10100-2600</f>
        <v>7500</v>
      </c>
      <c r="F379" s="4" t="s">
        <v>333</v>
      </c>
    </row>
    <row r="380" spans="1:6" x14ac:dyDescent="0.25">
      <c r="A380" s="12" t="s">
        <v>332</v>
      </c>
      <c r="B380" s="12" t="s">
        <v>25</v>
      </c>
      <c r="D380" s="4" t="s">
        <v>58</v>
      </c>
      <c r="E380" s="5">
        <f>5250+2625-3875</f>
        <v>4000</v>
      </c>
    </row>
    <row r="381" spans="1:6" x14ac:dyDescent="0.25">
      <c r="A381" s="12" t="s">
        <v>332</v>
      </c>
      <c r="B381" s="12" t="s">
        <v>17</v>
      </c>
      <c r="D381" s="4" t="s">
        <v>18</v>
      </c>
      <c r="E381" s="5">
        <f>(E378+E379+E380)*B3801</f>
        <v>8873.44</v>
      </c>
    </row>
    <row r="382" spans="1:6" x14ac:dyDescent="0.25">
      <c r="A382" s="12" t="s">
        <v>332</v>
      </c>
      <c r="B382" s="6" t="s">
        <v>19</v>
      </c>
      <c r="D382" s="4" t="s">
        <v>20</v>
      </c>
      <c r="E382" s="5">
        <f>SUM(E373:E380)*B3798</f>
        <v>3253.7420000000002</v>
      </c>
    </row>
    <row r="383" spans="1:6" x14ac:dyDescent="0.25">
      <c r="A383" s="12" t="s">
        <v>332</v>
      </c>
      <c r="B383" s="11" t="s">
        <v>40</v>
      </c>
      <c r="D383" s="4" t="s">
        <v>60</v>
      </c>
      <c r="E383" s="5">
        <f>SUM(E373:E377)*B3799</f>
        <v>2438.2799999999997</v>
      </c>
    </row>
    <row r="384" spans="1:6" x14ac:dyDescent="0.25">
      <c r="A384" s="12" t="s">
        <v>332</v>
      </c>
      <c r="B384" s="11" t="s">
        <v>21</v>
      </c>
      <c r="D384" s="4" t="s">
        <v>22</v>
      </c>
      <c r="E384" s="5">
        <f>(E378+E379+E380)*B3803</f>
        <v>33404.207999999999</v>
      </c>
    </row>
    <row r="385" spans="1:5" x14ac:dyDescent="0.25">
      <c r="A385" s="12" t="s">
        <v>332</v>
      </c>
      <c r="B385" s="11" t="s">
        <v>61</v>
      </c>
      <c r="D385" s="4" t="s">
        <v>334</v>
      </c>
      <c r="E385" s="5">
        <v>0</v>
      </c>
    </row>
    <row r="386" spans="1:5" x14ac:dyDescent="0.25">
      <c r="A386" s="12" t="s">
        <v>332</v>
      </c>
      <c r="B386" s="11" t="s">
        <v>44</v>
      </c>
      <c r="D386" s="4" t="s">
        <v>45</v>
      </c>
      <c r="E386" s="5">
        <v>2320</v>
      </c>
    </row>
    <row r="387" spans="1:5" x14ac:dyDescent="0.25">
      <c r="A387" s="12" t="s">
        <v>332</v>
      </c>
      <c r="B387" s="11" t="s">
        <v>88</v>
      </c>
      <c r="D387" s="4" t="s">
        <v>89</v>
      </c>
      <c r="E387" s="5">
        <v>500</v>
      </c>
    </row>
    <row r="388" spans="1:5" x14ac:dyDescent="0.25">
      <c r="A388" s="12" t="s">
        <v>332</v>
      </c>
      <c r="B388" s="11" t="s">
        <v>66</v>
      </c>
      <c r="D388" s="4" t="s">
        <v>310</v>
      </c>
      <c r="E388" s="5">
        <v>3000</v>
      </c>
    </row>
    <row r="389" spans="1:5" x14ac:dyDescent="0.25">
      <c r="A389" s="12" t="s">
        <v>332</v>
      </c>
      <c r="B389" s="12" t="s">
        <v>70</v>
      </c>
      <c r="D389" s="4" t="s">
        <v>335</v>
      </c>
      <c r="E389" s="5">
        <v>2000</v>
      </c>
    </row>
    <row r="390" spans="1:5" x14ac:dyDescent="0.25">
      <c r="A390" s="12" t="s">
        <v>332</v>
      </c>
      <c r="B390" s="12" t="s">
        <v>46</v>
      </c>
      <c r="D390" s="4" t="s">
        <v>47</v>
      </c>
      <c r="E390" s="5">
        <v>2000</v>
      </c>
    </row>
    <row r="391" spans="1:5" x14ac:dyDescent="0.25">
      <c r="A391" s="12" t="s">
        <v>332</v>
      </c>
      <c r="B391" s="12" t="s">
        <v>72</v>
      </c>
      <c r="D391" s="4" t="s">
        <v>336</v>
      </c>
      <c r="E391" s="5">
        <v>2000</v>
      </c>
    </row>
    <row r="392" spans="1:5" x14ac:dyDescent="0.25">
      <c r="A392" s="12" t="s">
        <v>332</v>
      </c>
      <c r="B392" s="12" t="s">
        <v>94</v>
      </c>
      <c r="D392" s="4" t="s">
        <v>95</v>
      </c>
      <c r="E392" s="5">
        <v>0</v>
      </c>
    </row>
    <row r="393" spans="1:5" x14ac:dyDescent="0.25">
      <c r="A393" s="12" t="s">
        <v>332</v>
      </c>
      <c r="B393" s="12" t="s">
        <v>337</v>
      </c>
      <c r="D393" s="4" t="s">
        <v>338</v>
      </c>
      <c r="E393" s="5">
        <v>0</v>
      </c>
    </row>
    <row r="394" spans="1:5" x14ac:dyDescent="0.25">
      <c r="A394" s="12" t="s">
        <v>332</v>
      </c>
      <c r="B394" s="12" t="s">
        <v>112</v>
      </c>
      <c r="D394" s="4" t="s">
        <v>311</v>
      </c>
      <c r="E394" s="5">
        <v>0</v>
      </c>
    </row>
    <row r="395" spans="1:5" x14ac:dyDescent="0.25">
      <c r="A395" s="12" t="s">
        <v>332</v>
      </c>
      <c r="B395" s="12" t="s">
        <v>78</v>
      </c>
      <c r="D395" s="4" t="s">
        <v>230</v>
      </c>
      <c r="E395" s="5">
        <v>1000</v>
      </c>
    </row>
    <row r="396" spans="1:5" x14ac:dyDescent="0.25">
      <c r="A396" s="12" t="s">
        <v>332</v>
      </c>
      <c r="B396" s="12" t="s">
        <v>339</v>
      </c>
      <c r="D396" s="4" t="s">
        <v>340</v>
      </c>
      <c r="E396" s="5">
        <v>3000</v>
      </c>
    </row>
    <row r="397" spans="1:5" x14ac:dyDescent="0.25">
      <c r="A397" s="12"/>
    </row>
    <row r="398" spans="1:5" x14ac:dyDescent="0.25">
      <c r="A398" s="4" t="s">
        <v>341</v>
      </c>
      <c r="E398" s="5">
        <f>SUM(E373:E396)</f>
        <v>288185.67</v>
      </c>
    </row>
    <row r="400" spans="1:5" x14ac:dyDescent="0.25">
      <c r="A400" s="6" t="s">
        <v>342</v>
      </c>
    </row>
    <row r="401" spans="1:6" x14ac:dyDescent="0.25">
      <c r="A401" s="6" t="s">
        <v>12</v>
      </c>
    </row>
    <row r="402" spans="1:6" x14ac:dyDescent="0.25">
      <c r="A402" s="6" t="s">
        <v>343</v>
      </c>
      <c r="B402" s="11" t="s">
        <v>53</v>
      </c>
      <c r="D402" s="4" t="s">
        <v>54</v>
      </c>
      <c r="E402" s="5">
        <v>36724</v>
      </c>
    </row>
    <row r="403" spans="1:6" x14ac:dyDescent="0.25">
      <c r="A403" s="6" t="s">
        <v>343</v>
      </c>
      <c r="B403" s="11" t="s">
        <v>34</v>
      </c>
      <c r="D403" s="4" t="s">
        <v>57</v>
      </c>
      <c r="E403" s="5">
        <f>1000+1200+1500+1500+1800+9500+3500-10000</f>
        <v>10000</v>
      </c>
      <c r="F403" s="4" t="s">
        <v>344</v>
      </c>
    </row>
    <row r="404" spans="1:6" x14ac:dyDescent="0.25">
      <c r="A404" s="6" t="s">
        <v>343</v>
      </c>
      <c r="B404" s="11" t="s">
        <v>38</v>
      </c>
      <c r="D404" s="4" t="s">
        <v>39</v>
      </c>
      <c r="E404" s="5">
        <f>1500-1500</f>
        <v>0</v>
      </c>
      <c r="F404" s="4" t="s">
        <v>345</v>
      </c>
    </row>
    <row r="405" spans="1:6" x14ac:dyDescent="0.25">
      <c r="A405" s="6" t="s">
        <v>343</v>
      </c>
      <c r="B405" s="11" t="s">
        <v>17</v>
      </c>
      <c r="D405" s="4" t="s">
        <v>18</v>
      </c>
      <c r="E405" s="5">
        <f>E404*B3801</f>
        <v>0</v>
      </c>
    </row>
    <row r="406" spans="1:6" x14ac:dyDescent="0.25">
      <c r="A406" s="6" t="s">
        <v>343</v>
      </c>
      <c r="B406" s="6" t="s">
        <v>19</v>
      </c>
      <c r="D406" s="4" t="s">
        <v>20</v>
      </c>
      <c r="E406" s="5">
        <f>SUM(E402:E404)*B3798</f>
        <v>677.49800000000005</v>
      </c>
    </row>
    <row r="407" spans="1:6" x14ac:dyDescent="0.25">
      <c r="A407" s="6" t="s">
        <v>343</v>
      </c>
      <c r="B407" s="11" t="s">
        <v>40</v>
      </c>
      <c r="D407" s="4" t="s">
        <v>60</v>
      </c>
      <c r="E407" s="5">
        <f>(E402+E403)*B3799</f>
        <v>1401.72</v>
      </c>
    </row>
    <row r="408" spans="1:6" x14ac:dyDescent="0.25">
      <c r="A408" s="6" t="s">
        <v>343</v>
      </c>
      <c r="B408" s="11" t="s">
        <v>21</v>
      </c>
      <c r="D408" s="4" t="s">
        <v>22</v>
      </c>
      <c r="E408" s="5">
        <f>E404*B3803</f>
        <v>0</v>
      </c>
    </row>
    <row r="409" spans="1:6" x14ac:dyDescent="0.25">
      <c r="A409" s="6" t="s">
        <v>343</v>
      </c>
      <c r="B409" s="6" t="s">
        <v>70</v>
      </c>
      <c r="D409" s="4" t="s">
        <v>191</v>
      </c>
      <c r="E409" s="5">
        <v>2500</v>
      </c>
      <c r="F409" s="4" t="s">
        <v>4</v>
      </c>
    </row>
    <row r="411" spans="1:6" x14ac:dyDescent="0.25">
      <c r="A411" s="6" t="s">
        <v>346</v>
      </c>
      <c r="B411" s="6" t="s">
        <v>4</v>
      </c>
      <c r="C411" s="6" t="s">
        <v>4</v>
      </c>
      <c r="D411" s="4" t="s">
        <v>4</v>
      </c>
      <c r="E411" s="5">
        <f>SUM(E402:E409)</f>
        <v>51303.218000000001</v>
      </c>
    </row>
    <row r="413" spans="1:6" x14ac:dyDescent="0.25">
      <c r="A413" s="6" t="s">
        <v>347</v>
      </c>
    </row>
    <row r="414" spans="1:6" x14ac:dyDescent="0.25">
      <c r="A414" s="6" t="s">
        <v>12</v>
      </c>
    </row>
    <row r="415" spans="1:6" x14ac:dyDescent="0.25">
      <c r="A415" s="6" t="s">
        <v>348</v>
      </c>
      <c r="B415" s="12" t="s">
        <v>61</v>
      </c>
      <c r="D415" s="4" t="s">
        <v>62</v>
      </c>
      <c r="E415" s="5">
        <v>0</v>
      </c>
    </row>
    <row r="416" spans="1:6" x14ac:dyDescent="0.25">
      <c r="A416" s="6" t="s">
        <v>348</v>
      </c>
      <c r="B416" s="12" t="s">
        <v>44</v>
      </c>
      <c r="D416" s="4" t="s">
        <v>45</v>
      </c>
      <c r="E416" s="5">
        <v>3000</v>
      </c>
    </row>
    <row r="417" spans="1:6" x14ac:dyDescent="0.25">
      <c r="A417" s="6" t="s">
        <v>348</v>
      </c>
      <c r="B417" s="12" t="s">
        <v>70</v>
      </c>
      <c r="D417" s="4" t="s">
        <v>335</v>
      </c>
      <c r="E417" s="5">
        <v>950</v>
      </c>
    </row>
    <row r="418" spans="1:6" x14ac:dyDescent="0.25">
      <c r="A418" s="6" t="s">
        <v>348</v>
      </c>
      <c r="B418" s="12" t="s">
        <v>46</v>
      </c>
      <c r="D418" s="4" t="s">
        <v>93</v>
      </c>
      <c r="E418" s="5">
        <v>450</v>
      </c>
    </row>
    <row r="419" spans="1:6" x14ac:dyDescent="0.25">
      <c r="A419" s="6" t="s">
        <v>348</v>
      </c>
      <c r="B419" s="6" t="s">
        <v>72</v>
      </c>
      <c r="D419" s="4" t="s">
        <v>336</v>
      </c>
      <c r="E419" s="5">
        <v>2200</v>
      </c>
      <c r="F419" s="4" t="s">
        <v>4</v>
      </c>
    </row>
    <row r="420" spans="1:6" x14ac:dyDescent="0.25">
      <c r="A420" s="6" t="s">
        <v>348</v>
      </c>
      <c r="B420" s="11" t="s">
        <v>298</v>
      </c>
      <c r="D420" s="4" t="s">
        <v>299</v>
      </c>
      <c r="E420" s="5">
        <v>2800</v>
      </c>
    </row>
    <row r="422" spans="1:6" x14ac:dyDescent="0.25">
      <c r="A422" s="6" t="s">
        <v>349</v>
      </c>
      <c r="B422" s="6" t="s">
        <v>4</v>
      </c>
      <c r="C422" s="6" t="s">
        <v>4</v>
      </c>
      <c r="D422" s="4" t="s">
        <v>4</v>
      </c>
      <c r="E422" s="5">
        <f>SUM(E415:E420)</f>
        <v>9400</v>
      </c>
    </row>
    <row r="423" spans="1:6" x14ac:dyDescent="0.25">
      <c r="A423" s="6"/>
      <c r="B423" s="6"/>
      <c r="C423" s="6"/>
    </row>
    <row r="424" spans="1:6" x14ac:dyDescent="0.25">
      <c r="A424" s="6" t="s">
        <v>350</v>
      </c>
      <c r="B424" s="6"/>
      <c r="C424" s="6"/>
      <c r="F424" s="4" t="s">
        <v>351</v>
      </c>
    </row>
    <row r="425" spans="1:6" x14ac:dyDescent="0.25">
      <c r="A425" s="6" t="s">
        <v>12</v>
      </c>
      <c r="B425" s="6"/>
      <c r="C425" s="6"/>
      <c r="F425" s="4" t="s">
        <v>352</v>
      </c>
    </row>
    <row r="426" spans="1:6" x14ac:dyDescent="0.25">
      <c r="A426" s="11" t="s">
        <v>353</v>
      </c>
      <c r="B426" s="11" t="s">
        <v>53</v>
      </c>
      <c r="C426" s="6"/>
      <c r="D426" s="4" t="s">
        <v>54</v>
      </c>
      <c r="E426" s="5">
        <v>130511</v>
      </c>
    </row>
    <row r="427" spans="1:6" x14ac:dyDescent="0.25">
      <c r="A427" s="11" t="s">
        <v>353</v>
      </c>
      <c r="B427" s="11" t="s">
        <v>34</v>
      </c>
      <c r="C427" s="6"/>
      <c r="D427" s="4" t="s">
        <v>57</v>
      </c>
      <c r="E427" s="5">
        <f>5000-5000</f>
        <v>0</v>
      </c>
    </row>
    <row r="428" spans="1:6" x14ac:dyDescent="0.25">
      <c r="A428" s="11" t="s">
        <v>353</v>
      </c>
      <c r="B428" s="11" t="s">
        <v>254</v>
      </c>
      <c r="C428" s="6"/>
      <c r="D428" s="4" t="s">
        <v>57</v>
      </c>
      <c r="E428" s="5">
        <v>0</v>
      </c>
    </row>
    <row r="429" spans="1:6" x14ac:dyDescent="0.25">
      <c r="A429" s="11" t="s">
        <v>353</v>
      </c>
      <c r="B429" s="6" t="s">
        <v>14</v>
      </c>
      <c r="D429" s="4" t="s">
        <v>15</v>
      </c>
      <c r="E429" s="5">
        <v>56586</v>
      </c>
    </row>
    <row r="430" spans="1:6" x14ac:dyDescent="0.25">
      <c r="A430" s="11" t="s">
        <v>353</v>
      </c>
      <c r="B430" s="6" t="s">
        <v>17</v>
      </c>
      <c r="D430" s="4" t="s">
        <v>18</v>
      </c>
      <c r="E430" s="5">
        <f>E429*B3801</f>
        <v>3508.3319999999999</v>
      </c>
    </row>
    <row r="431" spans="1:6" x14ac:dyDescent="0.25">
      <c r="A431" s="11" t="s">
        <v>353</v>
      </c>
      <c r="B431" s="6" t="s">
        <v>19</v>
      </c>
      <c r="D431" s="4" t="s">
        <v>20</v>
      </c>
      <c r="E431" s="5">
        <f>SUM(E426:E429)*B3802</f>
        <v>2712.9065000000001</v>
      </c>
    </row>
    <row r="432" spans="1:6" x14ac:dyDescent="0.25">
      <c r="A432" s="11" t="s">
        <v>353</v>
      </c>
      <c r="B432" s="11" t="s">
        <v>40</v>
      </c>
      <c r="D432" s="4" t="s">
        <v>60</v>
      </c>
      <c r="E432" s="5">
        <f>SUM(E426:E428)*B3799</f>
        <v>3915.33</v>
      </c>
    </row>
    <row r="433" spans="1:6" x14ac:dyDescent="0.25">
      <c r="A433" s="11" t="s">
        <v>353</v>
      </c>
      <c r="B433" s="6" t="s">
        <v>21</v>
      </c>
      <c r="D433" s="4" t="s">
        <v>22</v>
      </c>
      <c r="E433" s="5">
        <f>E429*B3803</f>
        <v>13207.172399999999</v>
      </c>
    </row>
    <row r="434" spans="1:6" x14ac:dyDescent="0.25">
      <c r="A434" s="11" t="s">
        <v>353</v>
      </c>
      <c r="B434" s="11" t="s">
        <v>61</v>
      </c>
      <c r="D434" s="4" t="s">
        <v>62</v>
      </c>
      <c r="E434" s="5">
        <v>0</v>
      </c>
    </row>
    <row r="435" spans="1:6" x14ac:dyDescent="0.25">
      <c r="A435" s="11" t="s">
        <v>353</v>
      </c>
      <c r="B435" s="11" t="s">
        <v>86</v>
      </c>
      <c r="D435" s="4" t="s">
        <v>87</v>
      </c>
      <c r="E435" s="5">
        <v>0</v>
      </c>
    </row>
    <row r="436" spans="1:6" x14ac:dyDescent="0.25">
      <c r="A436" s="11" t="s">
        <v>353</v>
      </c>
      <c r="B436" s="11" t="s">
        <v>66</v>
      </c>
      <c r="D436" s="4" t="s">
        <v>121</v>
      </c>
      <c r="E436" s="5">
        <v>0</v>
      </c>
    </row>
    <row r="437" spans="1:6" x14ac:dyDescent="0.25">
      <c r="A437" s="11" t="s">
        <v>353</v>
      </c>
      <c r="B437" s="6" t="s">
        <v>70</v>
      </c>
      <c r="D437" s="4" t="s">
        <v>354</v>
      </c>
      <c r="E437" s="5">
        <f>250+250-250</f>
        <v>250</v>
      </c>
    </row>
    <row r="438" spans="1:6" x14ac:dyDescent="0.25">
      <c r="A438" s="11" t="s">
        <v>353</v>
      </c>
      <c r="B438" s="11" t="s">
        <v>46</v>
      </c>
      <c r="D438" s="4" t="s">
        <v>47</v>
      </c>
      <c r="E438" s="5">
        <f>3000-2000-500</f>
        <v>500</v>
      </c>
    </row>
    <row r="439" spans="1:6" x14ac:dyDescent="0.25">
      <c r="A439" s="11" t="s">
        <v>353</v>
      </c>
      <c r="B439" s="11" t="s">
        <v>78</v>
      </c>
      <c r="D439" s="4" t="s">
        <v>355</v>
      </c>
      <c r="E439" s="5">
        <f>1000-1000</f>
        <v>0</v>
      </c>
    </row>
    <row r="440" spans="1:6" x14ac:dyDescent="0.25">
      <c r="A440" s="11" t="s">
        <v>353</v>
      </c>
      <c r="B440" s="11" t="s">
        <v>27</v>
      </c>
      <c r="D440" s="4" t="s">
        <v>28</v>
      </c>
      <c r="E440" s="5">
        <f>3000-2500+3500</f>
        <v>4000</v>
      </c>
      <c r="F440" s="4" t="s">
        <v>356</v>
      </c>
    </row>
    <row r="441" spans="1:6" x14ac:dyDescent="0.25">
      <c r="A441" s="6"/>
      <c r="B441" s="6"/>
      <c r="C441" s="6"/>
    </row>
    <row r="442" spans="1:6" x14ac:dyDescent="0.25">
      <c r="A442" s="6" t="s">
        <v>357</v>
      </c>
      <c r="B442" s="6"/>
      <c r="C442" s="6"/>
      <c r="E442" s="5">
        <f>SUM(E426:E440)</f>
        <v>215190.7409</v>
      </c>
    </row>
    <row r="443" spans="1:6" x14ac:dyDescent="0.25">
      <c r="A443" s="6"/>
      <c r="B443" s="6"/>
      <c r="C443" s="6"/>
    </row>
    <row r="444" spans="1:6" x14ac:dyDescent="0.25">
      <c r="A444" s="6" t="s">
        <v>358</v>
      </c>
      <c r="B444" s="6"/>
      <c r="C444" s="6"/>
      <c r="E444" s="4"/>
    </row>
    <row r="445" spans="1:6" x14ac:dyDescent="0.25">
      <c r="A445" s="6"/>
      <c r="B445" s="6"/>
      <c r="C445" s="6"/>
      <c r="E445" s="4"/>
    </row>
    <row r="446" spans="1:6" x14ac:dyDescent="0.25">
      <c r="A446" s="11" t="s">
        <v>359</v>
      </c>
      <c r="B446" s="11" t="s">
        <v>25</v>
      </c>
      <c r="C446" s="6"/>
      <c r="D446" s="4" t="s">
        <v>58</v>
      </c>
      <c r="E446" s="5">
        <v>660</v>
      </c>
      <c r="F446" s="4" t="s">
        <v>360</v>
      </c>
    </row>
    <row r="447" spans="1:6" x14ac:dyDescent="0.25">
      <c r="A447" s="11" t="s">
        <v>359</v>
      </c>
      <c r="B447" s="11" t="s">
        <v>17</v>
      </c>
      <c r="C447" s="6"/>
      <c r="D447" s="4" t="s">
        <v>18</v>
      </c>
      <c r="E447" s="5">
        <v>38.869999999999997</v>
      </c>
    </row>
    <row r="448" spans="1:6" x14ac:dyDescent="0.25">
      <c r="A448" s="11" t="s">
        <v>359</v>
      </c>
      <c r="B448" s="11" t="s">
        <v>19</v>
      </c>
      <c r="C448" s="6"/>
      <c r="D448" s="4" t="s">
        <v>20</v>
      </c>
      <c r="E448" s="5">
        <v>9.09</v>
      </c>
    </row>
    <row r="449" spans="1:5" x14ac:dyDescent="0.25">
      <c r="A449" s="11" t="s">
        <v>359</v>
      </c>
      <c r="B449" s="11" t="s">
        <v>21</v>
      </c>
      <c r="C449" s="6"/>
      <c r="D449" s="4" t="s">
        <v>22</v>
      </c>
      <c r="E449" s="5">
        <v>177.69</v>
      </c>
    </row>
    <row r="450" spans="1:5" x14ac:dyDescent="0.25">
      <c r="A450" s="11" t="s">
        <v>359</v>
      </c>
      <c r="B450" s="11" t="s">
        <v>27</v>
      </c>
      <c r="C450" s="6"/>
      <c r="D450" s="4" t="s">
        <v>28</v>
      </c>
      <c r="E450" s="5">
        <v>285</v>
      </c>
    </row>
    <row r="451" spans="1:5" x14ac:dyDescent="0.25">
      <c r="A451" s="6"/>
      <c r="B451" s="6"/>
      <c r="C451" s="6"/>
    </row>
    <row r="452" spans="1:5" x14ac:dyDescent="0.25">
      <c r="A452" s="6" t="s">
        <v>361</v>
      </c>
      <c r="B452" s="6"/>
      <c r="C452" s="6"/>
      <c r="E452" s="5">
        <f>SUM(E446:E450)</f>
        <v>1170.6500000000001</v>
      </c>
    </row>
    <row r="453" spans="1:5" x14ac:dyDescent="0.25">
      <c r="A453" s="6"/>
      <c r="B453" s="6"/>
      <c r="C453" s="6"/>
    </row>
    <row r="454" spans="1:5" x14ac:dyDescent="0.25">
      <c r="A454" s="6"/>
      <c r="B454" s="6"/>
      <c r="C454" s="6"/>
    </row>
    <row r="455" spans="1:5" x14ac:dyDescent="0.25">
      <c r="A455" s="6" t="s">
        <v>362</v>
      </c>
      <c r="B455" s="6"/>
      <c r="C455" s="6"/>
    </row>
    <row r="456" spans="1:5" x14ac:dyDescent="0.25">
      <c r="A456" s="6"/>
      <c r="B456" s="6"/>
      <c r="C456" s="6"/>
    </row>
    <row r="457" spans="1:5" x14ac:dyDescent="0.25">
      <c r="A457" s="6" t="s">
        <v>363</v>
      </c>
      <c r="B457" s="11" t="s">
        <v>53</v>
      </c>
      <c r="C457" s="6"/>
      <c r="D457" s="4" t="s">
        <v>54</v>
      </c>
      <c r="E457" s="5">
        <f>2100-2100</f>
        <v>0</v>
      </c>
    </row>
    <row r="458" spans="1:5" x14ac:dyDescent="0.25">
      <c r="A458" s="6" t="s">
        <v>363</v>
      </c>
      <c r="B458" s="6" t="s">
        <v>19</v>
      </c>
      <c r="D458" s="4" t="s">
        <v>20</v>
      </c>
      <c r="E458" s="5">
        <f>E457*B3798</f>
        <v>0</v>
      </c>
    </row>
    <row r="459" spans="1:5" x14ac:dyDescent="0.25">
      <c r="A459" s="6" t="s">
        <v>363</v>
      </c>
      <c r="B459" s="11" t="s">
        <v>40</v>
      </c>
      <c r="D459" s="4" t="s">
        <v>60</v>
      </c>
      <c r="E459" s="5">
        <f>E457*B3799</f>
        <v>0</v>
      </c>
    </row>
    <row r="460" spans="1:5" x14ac:dyDescent="0.25">
      <c r="A460" s="6" t="s">
        <v>363</v>
      </c>
      <c r="B460" s="11" t="s">
        <v>61</v>
      </c>
      <c r="D460" s="4" t="s">
        <v>62</v>
      </c>
      <c r="E460" s="5">
        <v>5500</v>
      </c>
    </row>
    <row r="461" spans="1:5" x14ac:dyDescent="0.25">
      <c r="A461" s="6" t="s">
        <v>363</v>
      </c>
      <c r="B461" s="11" t="s">
        <v>44</v>
      </c>
      <c r="D461" s="4" t="s">
        <v>120</v>
      </c>
    </row>
    <row r="462" spans="1:5" x14ac:dyDescent="0.25">
      <c r="A462" s="6" t="s">
        <v>363</v>
      </c>
      <c r="B462" s="11" t="s">
        <v>66</v>
      </c>
      <c r="D462" s="4" t="s">
        <v>310</v>
      </c>
      <c r="E462" s="5">
        <v>1000</v>
      </c>
    </row>
    <row r="463" spans="1:5" x14ac:dyDescent="0.25">
      <c r="A463" s="6" t="s">
        <v>363</v>
      </c>
      <c r="B463" s="6" t="s">
        <v>70</v>
      </c>
      <c r="D463" s="4" t="s">
        <v>364</v>
      </c>
      <c r="E463" s="5">
        <v>3500</v>
      </c>
    </row>
    <row r="464" spans="1:5" x14ac:dyDescent="0.25">
      <c r="A464" s="6" t="s">
        <v>363</v>
      </c>
      <c r="B464" s="11" t="s">
        <v>46</v>
      </c>
      <c r="D464" s="4" t="s">
        <v>47</v>
      </c>
      <c r="E464" s="5">
        <v>3000</v>
      </c>
    </row>
    <row r="465" spans="1:5" x14ac:dyDescent="0.25">
      <c r="A465" s="6" t="s">
        <v>363</v>
      </c>
      <c r="B465" s="11" t="s">
        <v>72</v>
      </c>
      <c r="D465" s="4" t="s">
        <v>111</v>
      </c>
      <c r="E465" s="5">
        <v>2300</v>
      </c>
    </row>
    <row r="466" spans="1:5" x14ac:dyDescent="0.25">
      <c r="A466" s="6" t="s">
        <v>363</v>
      </c>
      <c r="B466" s="11" t="s">
        <v>94</v>
      </c>
      <c r="D466" s="4" t="s">
        <v>95</v>
      </c>
      <c r="E466" s="5">
        <v>0</v>
      </c>
    </row>
    <row r="467" spans="1:5" x14ac:dyDescent="0.25">
      <c r="A467" s="6" t="s">
        <v>363</v>
      </c>
      <c r="B467" s="11" t="s">
        <v>74</v>
      </c>
      <c r="D467" s="4" t="s">
        <v>75</v>
      </c>
      <c r="E467" s="5">
        <v>0</v>
      </c>
    </row>
    <row r="468" spans="1:5" x14ac:dyDescent="0.25">
      <c r="A468" s="6" t="s">
        <v>363</v>
      </c>
      <c r="B468" s="11" t="s">
        <v>78</v>
      </c>
      <c r="D468" s="4" t="s">
        <v>113</v>
      </c>
      <c r="E468" s="5">
        <v>0</v>
      </c>
    </row>
    <row r="469" spans="1:5" x14ac:dyDescent="0.25">
      <c r="A469" s="6" t="s">
        <v>363</v>
      </c>
      <c r="B469" s="11" t="s">
        <v>80</v>
      </c>
      <c r="D469" s="4" t="s">
        <v>81</v>
      </c>
    </row>
    <row r="470" spans="1:5" x14ac:dyDescent="0.25">
      <c r="A470" s="6" t="s">
        <v>363</v>
      </c>
      <c r="B470" s="11" t="s">
        <v>298</v>
      </c>
      <c r="D470" s="4" t="s">
        <v>299</v>
      </c>
    </row>
    <row r="471" spans="1:5" x14ac:dyDescent="0.25">
      <c r="A471" s="6"/>
      <c r="B471" s="6"/>
      <c r="C471" s="6"/>
    </row>
    <row r="472" spans="1:5" x14ac:dyDescent="0.25">
      <c r="A472" s="6" t="s">
        <v>365</v>
      </c>
      <c r="B472" s="6"/>
      <c r="C472" s="6"/>
      <c r="E472" s="5">
        <f>SUM(E457:E470)</f>
        <v>15300</v>
      </c>
    </row>
    <row r="473" spans="1:5" x14ac:dyDescent="0.25">
      <c r="A473" s="6"/>
      <c r="B473" s="6"/>
      <c r="C473" s="6"/>
    </row>
    <row r="474" spans="1:5" x14ac:dyDescent="0.25">
      <c r="A474" s="6" t="s">
        <v>366</v>
      </c>
      <c r="B474" s="6"/>
      <c r="C474" s="6"/>
    </row>
    <row r="475" spans="1:5" x14ac:dyDescent="0.25">
      <c r="A475" s="6"/>
      <c r="B475" s="6"/>
      <c r="C475" s="6"/>
    </row>
    <row r="476" spans="1:5" x14ac:dyDescent="0.25">
      <c r="A476" s="11" t="s">
        <v>367</v>
      </c>
      <c r="B476" s="6" t="s">
        <v>42</v>
      </c>
      <c r="C476" s="6"/>
      <c r="D476" s="4" t="s">
        <v>264</v>
      </c>
      <c r="E476" s="5">
        <f>130848+40092</f>
        <v>170940</v>
      </c>
    </row>
    <row r="477" spans="1:5" x14ac:dyDescent="0.25">
      <c r="A477" s="11" t="s">
        <v>367</v>
      </c>
      <c r="B477" s="11" t="s">
        <v>46</v>
      </c>
      <c r="C477" s="6"/>
      <c r="D477" s="4" t="s">
        <v>93</v>
      </c>
      <c r="E477" s="5">
        <v>2500</v>
      </c>
    </row>
    <row r="478" spans="1:5" x14ac:dyDescent="0.25">
      <c r="A478" s="6"/>
      <c r="B478" s="6"/>
      <c r="C478" s="6"/>
    </row>
    <row r="479" spans="1:5" x14ac:dyDescent="0.25">
      <c r="A479" s="6" t="s">
        <v>368</v>
      </c>
      <c r="B479" s="6"/>
      <c r="C479" s="6"/>
      <c r="E479" s="5">
        <f>E476+E477</f>
        <v>173440</v>
      </c>
    </row>
    <row r="480" spans="1:5" x14ac:dyDescent="0.25">
      <c r="A480" s="6"/>
      <c r="B480" s="6"/>
      <c r="C480" s="6"/>
    </row>
    <row r="481" spans="1:6" x14ac:dyDescent="0.25">
      <c r="A481" s="6" t="s">
        <v>369</v>
      </c>
    </row>
    <row r="482" spans="1:6" x14ac:dyDescent="0.25">
      <c r="A482" s="6" t="s">
        <v>12</v>
      </c>
    </row>
    <row r="483" spans="1:6" x14ac:dyDescent="0.25">
      <c r="A483" s="11" t="s">
        <v>370</v>
      </c>
      <c r="B483" s="12" t="s">
        <v>53</v>
      </c>
      <c r="D483" s="4" t="s">
        <v>54</v>
      </c>
      <c r="E483" s="5">
        <v>0</v>
      </c>
    </row>
    <row r="484" spans="1:6" x14ac:dyDescent="0.25">
      <c r="A484" s="11" t="s">
        <v>370</v>
      </c>
      <c r="B484" s="12" t="s">
        <v>55</v>
      </c>
      <c r="D484" s="4" t="s">
        <v>56</v>
      </c>
      <c r="E484" s="5">
        <v>0</v>
      </c>
    </row>
    <row r="485" spans="1:6" x14ac:dyDescent="0.25">
      <c r="A485" s="11" t="s">
        <v>370</v>
      </c>
      <c r="B485" s="12" t="s">
        <v>32</v>
      </c>
      <c r="D485" s="4" t="s">
        <v>33</v>
      </c>
      <c r="E485" s="5">
        <v>0</v>
      </c>
    </row>
    <row r="486" spans="1:6" x14ac:dyDescent="0.25">
      <c r="A486" s="11" t="s">
        <v>370</v>
      </c>
      <c r="B486" s="11" t="s">
        <v>14</v>
      </c>
      <c r="D486" s="4" t="s">
        <v>15</v>
      </c>
      <c r="E486" s="5">
        <v>0</v>
      </c>
    </row>
    <row r="487" spans="1:6" x14ac:dyDescent="0.25">
      <c r="A487" s="11" t="s">
        <v>370</v>
      </c>
      <c r="B487" s="11" t="s">
        <v>19</v>
      </c>
      <c r="D487" s="4" t="s">
        <v>20</v>
      </c>
      <c r="E487" s="5">
        <f>SUM(E483:E486)*B3798</f>
        <v>0</v>
      </c>
    </row>
    <row r="488" spans="1:6" x14ac:dyDescent="0.25">
      <c r="A488" s="11" t="s">
        <v>370</v>
      </c>
      <c r="B488" s="11" t="s">
        <v>40</v>
      </c>
      <c r="D488" s="4" t="s">
        <v>60</v>
      </c>
      <c r="E488" s="5">
        <f>SUM(E483:E486)*B3799</f>
        <v>0</v>
      </c>
      <c r="F488" s="21"/>
    </row>
    <row r="489" spans="1:6" x14ac:dyDescent="0.25">
      <c r="A489" s="11" t="s">
        <v>370</v>
      </c>
      <c r="B489" s="6" t="s">
        <v>61</v>
      </c>
      <c r="D489" s="4" t="s">
        <v>188</v>
      </c>
      <c r="E489" s="5">
        <v>1785</v>
      </c>
    </row>
    <row r="490" spans="1:6" x14ac:dyDescent="0.25">
      <c r="A490" s="11" t="s">
        <v>370</v>
      </c>
      <c r="B490" s="11" t="s">
        <v>159</v>
      </c>
      <c r="D490" s="4" t="s">
        <v>371</v>
      </c>
      <c r="E490" s="37">
        <f>90000+55000+47000+65000</f>
        <v>257000</v>
      </c>
    </row>
    <row r="491" spans="1:6" x14ac:dyDescent="0.25">
      <c r="A491" s="11" t="s">
        <v>370</v>
      </c>
      <c r="B491" s="11" t="s">
        <v>372</v>
      </c>
      <c r="D491" s="4" t="s">
        <v>373</v>
      </c>
      <c r="E491" s="5">
        <v>431.6</v>
      </c>
    </row>
    <row r="492" spans="1:6" x14ac:dyDescent="0.25">
      <c r="A492" s="11" t="s">
        <v>370</v>
      </c>
      <c r="B492" s="11" t="s">
        <v>64</v>
      </c>
      <c r="D492" s="4" t="s">
        <v>65</v>
      </c>
      <c r="E492" s="5">
        <v>500</v>
      </c>
    </row>
    <row r="493" spans="1:6" x14ac:dyDescent="0.25">
      <c r="A493" s="11" t="s">
        <v>370</v>
      </c>
      <c r="B493" s="11" t="s">
        <v>66</v>
      </c>
      <c r="D493" s="4" t="s">
        <v>121</v>
      </c>
      <c r="E493" s="5">
        <v>0</v>
      </c>
    </row>
    <row r="494" spans="1:6" x14ac:dyDescent="0.25">
      <c r="A494" s="11" t="s">
        <v>370</v>
      </c>
      <c r="B494" s="6" t="s">
        <v>68</v>
      </c>
      <c r="D494" s="4" t="s">
        <v>190</v>
      </c>
      <c r="E494" s="5">
        <v>0</v>
      </c>
    </row>
    <row r="495" spans="1:6" x14ac:dyDescent="0.25">
      <c r="A495" s="11" t="s">
        <v>370</v>
      </c>
      <c r="B495" s="6" t="s">
        <v>70</v>
      </c>
      <c r="D495" s="4" t="s">
        <v>191</v>
      </c>
      <c r="E495" s="5">
        <v>4500</v>
      </c>
    </row>
    <row r="496" spans="1:6" x14ac:dyDescent="0.25">
      <c r="A496" s="11" t="s">
        <v>370</v>
      </c>
      <c r="B496" s="6" t="s">
        <v>46</v>
      </c>
      <c r="D496" s="4" t="s">
        <v>47</v>
      </c>
      <c r="E496" s="5">
        <v>0</v>
      </c>
    </row>
    <row r="497" spans="1:10" x14ac:dyDescent="0.25">
      <c r="A497" s="11" t="s">
        <v>370</v>
      </c>
      <c r="B497" s="11" t="s">
        <v>374</v>
      </c>
      <c r="D497" s="4" t="s">
        <v>375</v>
      </c>
      <c r="E497" s="5">
        <v>1500</v>
      </c>
    </row>
    <row r="498" spans="1:10" x14ac:dyDescent="0.25">
      <c r="A498" s="11" t="s">
        <v>370</v>
      </c>
      <c r="B498" s="11" t="s">
        <v>192</v>
      </c>
      <c r="D498" s="4" t="s">
        <v>193</v>
      </c>
      <c r="E498" s="5">
        <v>500</v>
      </c>
    </row>
    <row r="499" spans="1:10" x14ac:dyDescent="0.25">
      <c r="A499" s="11" t="s">
        <v>370</v>
      </c>
      <c r="B499" s="11" t="s">
        <v>80</v>
      </c>
      <c r="D499" s="4" t="s">
        <v>376</v>
      </c>
      <c r="E499" s="5">
        <v>32000</v>
      </c>
    </row>
    <row r="500" spans="1:10" x14ac:dyDescent="0.25">
      <c r="A500" s="11" t="s">
        <v>370</v>
      </c>
      <c r="B500" s="11" t="s">
        <v>131</v>
      </c>
      <c r="D500" s="4" t="s">
        <v>132</v>
      </c>
      <c r="E500" s="5">
        <v>1500</v>
      </c>
    </row>
    <row r="501" spans="1:10" x14ac:dyDescent="0.25">
      <c r="A501" s="11" t="s">
        <v>370</v>
      </c>
      <c r="B501" s="11" t="s">
        <v>298</v>
      </c>
      <c r="D501" s="4" t="s">
        <v>299</v>
      </c>
      <c r="E501" s="5">
        <v>50</v>
      </c>
    </row>
    <row r="502" spans="1:10" x14ac:dyDescent="0.25">
      <c r="A502" s="12"/>
    </row>
    <row r="503" spans="1:10" x14ac:dyDescent="0.25">
      <c r="A503" s="6" t="s">
        <v>377</v>
      </c>
      <c r="E503" s="5">
        <f>SUM(E483:E501)</f>
        <v>299766.59999999998</v>
      </c>
    </row>
    <row r="504" spans="1:10" x14ac:dyDescent="0.25">
      <c r="A504" s="6"/>
    </row>
    <row r="505" spans="1:10" x14ac:dyDescent="0.25">
      <c r="A505" s="6" t="s">
        <v>378</v>
      </c>
    </row>
    <row r="506" spans="1:10" x14ac:dyDescent="0.25">
      <c r="A506" s="6"/>
    </row>
    <row r="507" spans="1:10" x14ac:dyDescent="0.25">
      <c r="A507" s="11" t="s">
        <v>379</v>
      </c>
      <c r="B507" s="12" t="s">
        <v>380</v>
      </c>
      <c r="D507" s="4" t="s">
        <v>381</v>
      </c>
      <c r="E507" s="42">
        <f>54500+70500-67640-22692+4018.62+20000</f>
        <v>58686.62</v>
      </c>
      <c r="F507" s="4" t="s">
        <v>382</v>
      </c>
      <c r="H507" s="4" t="s">
        <v>383</v>
      </c>
      <c r="J507" s="4" t="s">
        <v>384</v>
      </c>
    </row>
    <row r="508" spans="1:10" x14ac:dyDescent="0.25">
      <c r="A508" s="11" t="s">
        <v>379</v>
      </c>
      <c r="B508" s="12" t="s">
        <v>385</v>
      </c>
      <c r="D508" s="4" t="s">
        <v>386</v>
      </c>
      <c r="E508" s="5">
        <f>23000+2000</f>
        <v>25000</v>
      </c>
      <c r="H508" s="4" t="s">
        <v>387</v>
      </c>
      <c r="J508" s="4" t="s">
        <v>388</v>
      </c>
    </row>
    <row r="509" spans="1:10" x14ac:dyDescent="0.25">
      <c r="A509" s="11" t="s">
        <v>379</v>
      </c>
      <c r="B509" s="12" t="s">
        <v>46</v>
      </c>
      <c r="D509" s="4" t="s">
        <v>389</v>
      </c>
      <c r="E509" s="5">
        <f>1000-250-750</f>
        <v>0</v>
      </c>
      <c r="H509" s="4" t="s">
        <v>390</v>
      </c>
      <c r="J509" s="4" t="s">
        <v>391</v>
      </c>
    </row>
    <row r="510" spans="1:10" x14ac:dyDescent="0.25">
      <c r="A510" s="6"/>
      <c r="H510" s="4" t="s">
        <v>392</v>
      </c>
      <c r="J510" s="4" t="s">
        <v>393</v>
      </c>
    </row>
    <row r="511" spans="1:10" x14ac:dyDescent="0.25">
      <c r="A511" s="6" t="s">
        <v>394</v>
      </c>
      <c r="E511" s="5">
        <f>SUM(E507:E509)</f>
        <v>83686.62</v>
      </c>
      <c r="H511" s="4" t="s">
        <v>395</v>
      </c>
    </row>
    <row r="512" spans="1:10" hidden="1" x14ac:dyDescent="0.25">
      <c r="A512" s="11" t="s">
        <v>396</v>
      </c>
    </row>
    <row r="513" spans="1:8" hidden="1" x14ac:dyDescent="0.25">
      <c r="A513" s="6" t="s">
        <v>12</v>
      </c>
    </row>
    <row r="514" spans="1:8" hidden="1" x14ac:dyDescent="0.25">
      <c r="A514" s="11" t="s">
        <v>397</v>
      </c>
      <c r="B514" s="12" t="s">
        <v>328</v>
      </c>
      <c r="D514" s="4" t="s">
        <v>329</v>
      </c>
      <c r="E514" s="5">
        <f>1000-1000</f>
        <v>0</v>
      </c>
    </row>
    <row r="515" spans="1:8" hidden="1" x14ac:dyDescent="0.25">
      <c r="A515" s="11" t="s">
        <v>397</v>
      </c>
      <c r="B515" s="12" t="s">
        <v>46</v>
      </c>
      <c r="D515" s="4" t="s">
        <v>93</v>
      </c>
      <c r="E515" s="5">
        <f>5000-5000</f>
        <v>0</v>
      </c>
    </row>
    <row r="516" spans="1:8" hidden="1" x14ac:dyDescent="0.25">
      <c r="A516" s="6"/>
    </row>
    <row r="517" spans="1:8" hidden="1" x14ac:dyDescent="0.25">
      <c r="A517" s="6" t="s">
        <v>398</v>
      </c>
      <c r="E517" s="5">
        <f>E514+E515</f>
        <v>0</v>
      </c>
    </row>
    <row r="518" spans="1:8" hidden="1" x14ac:dyDescent="0.25">
      <c r="A518" s="12"/>
    </row>
    <row r="519" spans="1:8" x14ac:dyDescent="0.25">
      <c r="A519" s="12"/>
      <c r="H519" s="4" t="s">
        <v>399</v>
      </c>
    </row>
    <row r="520" spans="1:8" x14ac:dyDescent="0.25">
      <c r="A520" s="6" t="s">
        <v>400</v>
      </c>
      <c r="H520" s="4" t="s">
        <v>401</v>
      </c>
    </row>
    <row r="521" spans="1:8" x14ac:dyDescent="0.25">
      <c r="A521" s="6" t="s">
        <v>12</v>
      </c>
      <c r="H521" s="4" t="s">
        <v>402</v>
      </c>
    </row>
    <row r="522" spans="1:8" x14ac:dyDescent="0.25">
      <c r="A522" s="6" t="s">
        <v>403</v>
      </c>
      <c r="B522" s="6" t="s">
        <v>404</v>
      </c>
      <c r="D522" s="4" t="s">
        <v>405</v>
      </c>
      <c r="E522" s="37">
        <f>5210000</f>
        <v>5210000</v>
      </c>
      <c r="F522" s="22" t="s">
        <v>1566</v>
      </c>
    </row>
    <row r="523" spans="1:8" x14ac:dyDescent="0.25">
      <c r="A523" s="6" t="s">
        <v>403</v>
      </c>
      <c r="B523" s="11" t="s">
        <v>406</v>
      </c>
      <c r="D523" s="4" t="s">
        <v>407</v>
      </c>
      <c r="E523" s="37">
        <f>1000000+325000</f>
        <v>1325000</v>
      </c>
      <c r="F523" s="22" t="s">
        <v>1572</v>
      </c>
    </row>
    <row r="524" spans="1:8" x14ac:dyDescent="0.25">
      <c r="F524" s="4" t="s">
        <v>1569</v>
      </c>
    </row>
    <row r="525" spans="1:8" x14ac:dyDescent="0.25">
      <c r="A525" s="6" t="s">
        <v>408</v>
      </c>
      <c r="B525" s="6" t="s">
        <v>4</v>
      </c>
      <c r="C525" s="6" t="s">
        <v>4</v>
      </c>
      <c r="D525" s="4" t="s">
        <v>4</v>
      </c>
      <c r="E525" s="5">
        <f>E522+E523</f>
        <v>6535000</v>
      </c>
      <c r="F525" s="6" t="s">
        <v>1570</v>
      </c>
      <c r="G525" s="6"/>
    </row>
    <row r="526" spans="1:8" hidden="1" x14ac:dyDescent="0.25">
      <c r="A526" s="6"/>
      <c r="B526" s="6"/>
      <c r="C526" s="6"/>
    </row>
    <row r="527" spans="1:8" hidden="1" x14ac:dyDescent="0.25">
      <c r="A527" s="6" t="s">
        <v>409</v>
      </c>
      <c r="B527" s="6"/>
      <c r="C527" s="6"/>
    </row>
    <row r="528" spans="1:8" hidden="1" x14ac:dyDescent="0.25">
      <c r="A528" s="6"/>
      <c r="B528" s="6"/>
      <c r="C528" s="6"/>
    </row>
    <row r="529" spans="1:6" hidden="1" x14ac:dyDescent="0.25">
      <c r="A529" s="11" t="s">
        <v>410</v>
      </c>
      <c r="B529" s="11" t="s">
        <v>25</v>
      </c>
      <c r="C529" s="6"/>
      <c r="D529" s="4" t="s">
        <v>58</v>
      </c>
      <c r="E529" s="5">
        <f>1000-1000</f>
        <v>0</v>
      </c>
    </row>
    <row r="530" spans="1:6" hidden="1" x14ac:dyDescent="0.25">
      <c r="A530" s="11" t="s">
        <v>410</v>
      </c>
      <c r="B530" s="11" t="s">
        <v>17</v>
      </c>
      <c r="C530" s="6"/>
      <c r="D530" s="4" t="s">
        <v>18</v>
      </c>
      <c r="E530" s="5">
        <f>E529*B3801</f>
        <v>0</v>
      </c>
    </row>
    <row r="531" spans="1:6" hidden="1" x14ac:dyDescent="0.25">
      <c r="A531" s="11" t="s">
        <v>410</v>
      </c>
      <c r="B531" s="6" t="s">
        <v>19</v>
      </c>
      <c r="C531" s="6"/>
      <c r="D531" s="4" t="s">
        <v>20</v>
      </c>
      <c r="E531" s="5">
        <f>E529*B3798</f>
        <v>0</v>
      </c>
    </row>
    <row r="532" spans="1:6" hidden="1" x14ac:dyDescent="0.25">
      <c r="A532" s="11" t="s">
        <v>410</v>
      </c>
      <c r="B532" s="11" t="s">
        <v>21</v>
      </c>
      <c r="C532" s="6"/>
      <c r="D532" s="4" t="s">
        <v>22</v>
      </c>
      <c r="E532" s="5">
        <f>E529*B3803</f>
        <v>0</v>
      </c>
    </row>
    <row r="533" spans="1:6" hidden="1" x14ac:dyDescent="0.25">
      <c r="A533" s="11" t="s">
        <v>410</v>
      </c>
      <c r="B533" s="6" t="s">
        <v>94</v>
      </c>
      <c r="C533" s="6"/>
      <c r="D533" s="4" t="s">
        <v>294</v>
      </c>
      <c r="E533" s="5">
        <f>10000-10000</f>
        <v>0</v>
      </c>
    </row>
    <row r="534" spans="1:6" hidden="1" x14ac:dyDescent="0.25">
      <c r="A534" s="6"/>
      <c r="B534" s="6"/>
      <c r="C534" s="6"/>
    </row>
    <row r="535" spans="1:6" hidden="1" x14ac:dyDescent="0.25">
      <c r="A535" s="6" t="s">
        <v>411</v>
      </c>
      <c r="B535" s="6"/>
      <c r="C535" s="6"/>
      <c r="E535" s="5">
        <f>SUM(E529:E533)</f>
        <v>0</v>
      </c>
    </row>
    <row r="536" spans="1:6" x14ac:dyDescent="0.25">
      <c r="A536" s="6"/>
      <c r="B536" s="6"/>
      <c r="C536" s="6"/>
    </row>
    <row r="537" spans="1:6" x14ac:dyDescent="0.25">
      <c r="A537" s="6" t="s">
        <v>412</v>
      </c>
      <c r="B537" s="6"/>
      <c r="C537" s="6"/>
    </row>
    <row r="538" spans="1:6" x14ac:dyDescent="0.25">
      <c r="A538" s="6" t="s">
        <v>12</v>
      </c>
      <c r="B538" s="6"/>
      <c r="C538" s="6"/>
    </row>
    <row r="539" spans="1:6" x14ac:dyDescent="0.25">
      <c r="A539" s="11" t="s">
        <v>413</v>
      </c>
      <c r="B539" s="11" t="s">
        <v>53</v>
      </c>
      <c r="C539" s="6"/>
      <c r="D539" s="4" t="s">
        <v>54</v>
      </c>
      <c r="E539" s="5">
        <v>74454</v>
      </c>
    </row>
    <row r="540" spans="1:6" x14ac:dyDescent="0.25">
      <c r="A540" s="11" t="s">
        <v>413</v>
      </c>
      <c r="B540" s="11" t="s">
        <v>19</v>
      </c>
      <c r="C540" s="6"/>
      <c r="D540" s="4" t="s">
        <v>20</v>
      </c>
      <c r="E540" s="5">
        <f>E539*B3798</f>
        <v>1079.5830000000001</v>
      </c>
    </row>
    <row r="541" spans="1:6" x14ac:dyDescent="0.25">
      <c r="A541" s="11" t="s">
        <v>413</v>
      </c>
      <c r="B541" s="11" t="s">
        <v>40</v>
      </c>
      <c r="C541" s="6"/>
      <c r="D541" s="4" t="s">
        <v>60</v>
      </c>
      <c r="E541" s="5">
        <f>E539*B3799</f>
        <v>2233.62</v>
      </c>
    </row>
    <row r="542" spans="1:6" x14ac:dyDescent="0.25">
      <c r="A542" s="11" t="s">
        <v>413</v>
      </c>
      <c r="B542" s="11" t="s">
        <v>61</v>
      </c>
      <c r="C542" s="6"/>
      <c r="D542" s="4" t="s">
        <v>106</v>
      </c>
      <c r="E542" s="5">
        <v>1000</v>
      </c>
    </row>
    <row r="543" spans="1:6" x14ac:dyDescent="0.25">
      <c r="A543" s="11" t="s">
        <v>413</v>
      </c>
      <c r="B543" s="11" t="s">
        <v>107</v>
      </c>
      <c r="C543" s="6"/>
      <c r="D543" s="4" t="s">
        <v>414</v>
      </c>
      <c r="E543" s="5">
        <f>250000-77767.2</f>
        <v>172232.8</v>
      </c>
      <c r="F543" s="4" t="s">
        <v>415</v>
      </c>
    </row>
    <row r="544" spans="1:6" x14ac:dyDescent="0.25">
      <c r="A544" s="11" t="s">
        <v>413</v>
      </c>
      <c r="B544" s="11" t="s">
        <v>44</v>
      </c>
      <c r="C544" s="6"/>
      <c r="D544" s="4" t="s">
        <v>45</v>
      </c>
      <c r="E544" s="5">
        <v>24000</v>
      </c>
    </row>
    <row r="545" spans="1:5" x14ac:dyDescent="0.25">
      <c r="A545" s="11" t="s">
        <v>413</v>
      </c>
      <c r="B545" s="11" t="s">
        <v>66</v>
      </c>
      <c r="C545" s="6"/>
      <c r="D545" s="4" t="s">
        <v>310</v>
      </c>
      <c r="E545" s="5">
        <f>800-800</f>
        <v>0</v>
      </c>
    </row>
    <row r="546" spans="1:5" x14ac:dyDescent="0.25">
      <c r="A546" s="11" t="s">
        <v>413</v>
      </c>
      <c r="B546" s="11" t="s">
        <v>276</v>
      </c>
      <c r="C546" s="6"/>
      <c r="D546" s="4" t="s">
        <v>277</v>
      </c>
      <c r="E546" s="5">
        <f>339500</f>
        <v>339500</v>
      </c>
    </row>
    <row r="547" spans="1:5" x14ac:dyDescent="0.25">
      <c r="A547" s="11" t="s">
        <v>413</v>
      </c>
      <c r="B547" s="11" t="s">
        <v>70</v>
      </c>
      <c r="C547" s="6"/>
      <c r="D547" s="4" t="s">
        <v>110</v>
      </c>
      <c r="E547" s="5">
        <v>748</v>
      </c>
    </row>
    <row r="548" spans="1:5" x14ac:dyDescent="0.25">
      <c r="A548" s="11" t="s">
        <v>413</v>
      </c>
      <c r="B548" s="11" t="s">
        <v>46</v>
      </c>
      <c r="C548" s="6"/>
      <c r="D548" s="4" t="s">
        <v>93</v>
      </c>
      <c r="E548" s="5">
        <v>2000</v>
      </c>
    </row>
    <row r="549" spans="1:5" x14ac:dyDescent="0.25">
      <c r="A549" s="11" t="s">
        <v>413</v>
      </c>
      <c r="B549" s="11" t="s">
        <v>72</v>
      </c>
      <c r="C549" s="6"/>
      <c r="D549" s="4" t="s">
        <v>111</v>
      </c>
      <c r="E549" s="5">
        <v>300</v>
      </c>
    </row>
    <row r="550" spans="1:5" x14ac:dyDescent="0.25">
      <c r="A550" s="11" t="s">
        <v>413</v>
      </c>
      <c r="B550" s="11" t="s">
        <v>112</v>
      </c>
      <c r="C550" s="6"/>
      <c r="D550" s="4" t="s">
        <v>297</v>
      </c>
      <c r="E550" s="5">
        <v>0</v>
      </c>
    </row>
    <row r="551" spans="1:5" x14ac:dyDescent="0.25">
      <c r="A551" s="11" t="s">
        <v>413</v>
      </c>
      <c r="B551" s="11" t="s">
        <v>78</v>
      </c>
      <c r="C551" s="6"/>
      <c r="D551" s="4" t="s">
        <v>230</v>
      </c>
      <c r="E551" s="5">
        <v>1000</v>
      </c>
    </row>
    <row r="552" spans="1:5" x14ac:dyDescent="0.25">
      <c r="A552" s="6"/>
      <c r="B552" s="11"/>
      <c r="C552" s="6"/>
    </row>
    <row r="553" spans="1:5" x14ac:dyDescent="0.25">
      <c r="A553" s="6" t="s">
        <v>416</v>
      </c>
      <c r="B553" s="11"/>
      <c r="C553" s="6"/>
      <c r="E553" s="5">
        <f>SUM(E539:E551)</f>
        <v>618548.00300000003</v>
      </c>
    </row>
    <row r="554" spans="1:5" x14ac:dyDescent="0.25">
      <c r="A554" s="6"/>
      <c r="B554" s="11"/>
      <c r="C554" s="6"/>
    </row>
    <row r="555" spans="1:5" x14ac:dyDescent="0.25">
      <c r="A555" s="6" t="s">
        <v>417</v>
      </c>
      <c r="B555" s="6"/>
      <c r="C555" s="6"/>
    </row>
    <row r="556" spans="1:5" x14ac:dyDescent="0.25">
      <c r="A556" s="11" t="s">
        <v>418</v>
      </c>
      <c r="B556" s="11" t="s">
        <v>14</v>
      </c>
      <c r="C556" s="6"/>
      <c r="D556" s="4" t="s">
        <v>15</v>
      </c>
      <c r="E556" s="5">
        <v>45000</v>
      </c>
    </row>
    <row r="557" spans="1:5" x14ac:dyDescent="0.25">
      <c r="A557" s="11" t="s">
        <v>418</v>
      </c>
      <c r="B557" s="11" t="s">
        <v>17</v>
      </c>
      <c r="C557" s="6"/>
      <c r="D557" s="4" t="s">
        <v>18</v>
      </c>
      <c r="E557" s="5">
        <f>E556*B3801</f>
        <v>2790</v>
      </c>
    </row>
    <row r="558" spans="1:5" x14ac:dyDescent="0.25">
      <c r="A558" s="11" t="s">
        <v>418</v>
      </c>
      <c r="B558" s="11" t="s">
        <v>19</v>
      </c>
      <c r="C558" s="6"/>
      <c r="D558" s="4" t="s">
        <v>20</v>
      </c>
      <c r="E558" s="5">
        <f>E556*B3798</f>
        <v>652.5</v>
      </c>
    </row>
    <row r="559" spans="1:5" x14ac:dyDescent="0.25">
      <c r="A559" s="11" t="s">
        <v>418</v>
      </c>
      <c r="B559" s="11" t="s">
        <v>21</v>
      </c>
      <c r="C559" s="6"/>
      <c r="D559" s="4" t="s">
        <v>22</v>
      </c>
      <c r="E559" s="5">
        <f>E556*B3803</f>
        <v>10503</v>
      </c>
    </row>
    <row r="560" spans="1:5" x14ac:dyDescent="0.25">
      <c r="A560" s="11" t="s">
        <v>418</v>
      </c>
      <c r="B560" s="11" t="s">
        <v>44</v>
      </c>
      <c r="C560" s="6"/>
      <c r="D560" s="4" t="s">
        <v>109</v>
      </c>
      <c r="E560" s="5">
        <v>20000</v>
      </c>
    </row>
    <row r="561" spans="1:7" x14ac:dyDescent="0.25">
      <c r="A561" s="11" t="s">
        <v>418</v>
      </c>
      <c r="B561" s="11" t="s">
        <v>173</v>
      </c>
      <c r="C561" s="6"/>
      <c r="D561" s="4" t="s">
        <v>419</v>
      </c>
      <c r="E561" s="5">
        <v>0</v>
      </c>
    </row>
    <row r="562" spans="1:7" x14ac:dyDescent="0.25">
      <c r="A562" s="11" t="s">
        <v>418</v>
      </c>
      <c r="B562" s="11" t="s">
        <v>46</v>
      </c>
      <c r="C562" s="6"/>
      <c r="D562" s="4" t="s">
        <v>93</v>
      </c>
      <c r="E562" s="5">
        <v>0</v>
      </c>
    </row>
    <row r="563" spans="1:7" x14ac:dyDescent="0.25">
      <c r="A563" s="11" t="s">
        <v>418</v>
      </c>
      <c r="B563" s="11" t="s">
        <v>131</v>
      </c>
      <c r="C563" s="6"/>
      <c r="D563" s="4" t="s">
        <v>132</v>
      </c>
      <c r="E563" s="5">
        <v>0</v>
      </c>
    </row>
    <row r="564" spans="1:7" x14ac:dyDescent="0.25">
      <c r="A564" s="6"/>
      <c r="B564" s="6"/>
      <c r="C564" s="6"/>
    </row>
    <row r="565" spans="1:7" x14ac:dyDescent="0.25">
      <c r="A565" s="6" t="s">
        <v>394</v>
      </c>
      <c r="B565" s="6"/>
      <c r="C565" s="6"/>
      <c r="E565" s="5">
        <f>SUM(E556:E563)</f>
        <v>78945.5</v>
      </c>
      <c r="G565" s="13"/>
    </row>
    <row r="567" spans="1:7" x14ac:dyDescent="0.25">
      <c r="A567" s="6" t="s">
        <v>420</v>
      </c>
    </row>
    <row r="568" spans="1:7" x14ac:dyDescent="0.25">
      <c r="A568" s="11" t="s">
        <v>421</v>
      </c>
      <c r="B568" s="11" t="s">
        <v>53</v>
      </c>
      <c r="D568" s="4" t="s">
        <v>54</v>
      </c>
      <c r="E568" s="5">
        <v>104661</v>
      </c>
    </row>
    <row r="569" spans="1:7" x14ac:dyDescent="0.25">
      <c r="A569" s="11" t="s">
        <v>421</v>
      </c>
      <c r="B569" s="11" t="s">
        <v>55</v>
      </c>
      <c r="D569" s="4" t="s">
        <v>56</v>
      </c>
      <c r="E569" s="5">
        <v>21691</v>
      </c>
    </row>
    <row r="570" spans="1:7" x14ac:dyDescent="0.25">
      <c r="A570" s="11" t="s">
        <v>421</v>
      </c>
      <c r="B570" s="11" t="s">
        <v>32</v>
      </c>
      <c r="D570" s="4" t="s">
        <v>33</v>
      </c>
      <c r="E570" s="5">
        <v>29564</v>
      </c>
    </row>
    <row r="571" spans="1:7" x14ac:dyDescent="0.25">
      <c r="A571" s="11" t="s">
        <v>421</v>
      </c>
      <c r="B571" s="11" t="s">
        <v>14</v>
      </c>
      <c r="D571" s="4" t="s">
        <v>15</v>
      </c>
      <c r="E571" s="5">
        <f>51261-51261</f>
        <v>0</v>
      </c>
      <c r="F571" s="4" t="s">
        <v>422</v>
      </c>
    </row>
    <row r="572" spans="1:7" x14ac:dyDescent="0.25">
      <c r="A572" s="11" t="s">
        <v>421</v>
      </c>
      <c r="B572" s="11" t="s">
        <v>14</v>
      </c>
      <c r="D572" s="4" t="s">
        <v>15</v>
      </c>
      <c r="E572" s="5">
        <v>126601</v>
      </c>
    </row>
    <row r="573" spans="1:7" x14ac:dyDescent="0.25">
      <c r="A573" s="11" t="s">
        <v>421</v>
      </c>
      <c r="B573" s="11" t="s">
        <v>25</v>
      </c>
      <c r="D573" s="4" t="s">
        <v>58</v>
      </c>
      <c r="E573" s="5">
        <f>105*35.73</f>
        <v>3751.6499999999996</v>
      </c>
    </row>
    <row r="574" spans="1:7" x14ac:dyDescent="0.25">
      <c r="A574" s="11" t="s">
        <v>421</v>
      </c>
      <c r="B574" s="11" t="s">
        <v>17</v>
      </c>
      <c r="D574" s="4" t="s">
        <v>18</v>
      </c>
      <c r="E574" s="5">
        <f>(E572+E573)*B3801</f>
        <v>8081.8642999999993</v>
      </c>
    </row>
    <row r="575" spans="1:7" x14ac:dyDescent="0.25">
      <c r="A575" s="11" t="s">
        <v>421</v>
      </c>
      <c r="B575" s="11" t="s">
        <v>19</v>
      </c>
      <c r="D575" s="4" t="s">
        <v>20</v>
      </c>
      <c r="E575" s="5">
        <f>SUM(E568:E573)*B3798</f>
        <v>4150.8954250000006</v>
      </c>
    </row>
    <row r="576" spans="1:7" x14ac:dyDescent="0.25">
      <c r="A576" s="11" t="s">
        <v>421</v>
      </c>
      <c r="B576" s="11" t="s">
        <v>40</v>
      </c>
      <c r="D576" s="4" t="s">
        <v>60</v>
      </c>
      <c r="E576" s="5">
        <f>SUM(E568:E571)*B3799</f>
        <v>4677.4799999999996</v>
      </c>
    </row>
    <row r="577" spans="1:5" x14ac:dyDescent="0.25">
      <c r="A577" s="11" t="s">
        <v>421</v>
      </c>
      <c r="B577" s="11" t="s">
        <v>21</v>
      </c>
      <c r="D577" s="4" t="s">
        <v>22</v>
      </c>
      <c r="E577" s="5">
        <f>(E572+E573)*B3803</f>
        <v>30424.308509999999</v>
      </c>
    </row>
    <row r="578" spans="1:5" x14ac:dyDescent="0.25">
      <c r="A578" s="11" t="s">
        <v>421</v>
      </c>
      <c r="B578" s="11" t="s">
        <v>61</v>
      </c>
      <c r="D578" s="4" t="s">
        <v>62</v>
      </c>
      <c r="E578" s="5">
        <v>2000</v>
      </c>
    </row>
    <row r="579" spans="1:5" x14ac:dyDescent="0.25">
      <c r="A579" s="11" t="s">
        <v>421</v>
      </c>
      <c r="B579" s="11" t="s">
        <v>70</v>
      </c>
      <c r="D579" s="4" t="s">
        <v>127</v>
      </c>
      <c r="E579" s="5">
        <f>2000+950</f>
        <v>2950</v>
      </c>
    </row>
    <row r="580" spans="1:5" x14ac:dyDescent="0.25">
      <c r="A580" s="11" t="s">
        <v>421</v>
      </c>
      <c r="B580" s="11" t="s">
        <v>46</v>
      </c>
      <c r="D580" s="4" t="s">
        <v>93</v>
      </c>
      <c r="E580" s="5">
        <v>1200</v>
      </c>
    </row>
    <row r="581" spans="1:5" x14ac:dyDescent="0.25">
      <c r="A581" s="11" t="s">
        <v>421</v>
      </c>
      <c r="B581" s="11" t="s">
        <v>423</v>
      </c>
      <c r="D581" s="4" t="s">
        <v>424</v>
      </c>
      <c r="E581" s="5">
        <v>0</v>
      </c>
    </row>
    <row r="582" spans="1:5" x14ac:dyDescent="0.25">
      <c r="A582" s="11" t="s">
        <v>421</v>
      </c>
      <c r="B582" s="11" t="s">
        <v>80</v>
      </c>
      <c r="D582" s="4" t="s">
        <v>81</v>
      </c>
      <c r="E582" s="5">
        <v>0</v>
      </c>
    </row>
    <row r="583" spans="1:5" x14ac:dyDescent="0.25">
      <c r="A583" s="11" t="s">
        <v>421</v>
      </c>
      <c r="B583" s="11" t="s">
        <v>298</v>
      </c>
      <c r="D583" s="4" t="s">
        <v>299</v>
      </c>
      <c r="E583" s="5">
        <v>350</v>
      </c>
    </row>
    <row r="584" spans="1:5" x14ac:dyDescent="0.25">
      <c r="A584" s="12"/>
    </row>
    <row r="585" spans="1:5" x14ac:dyDescent="0.25">
      <c r="A585" s="6" t="s">
        <v>425</v>
      </c>
      <c r="E585" s="5">
        <f>SUM(E568:E583)</f>
        <v>340103.19823500002</v>
      </c>
    </row>
    <row r="586" spans="1:5" x14ac:dyDescent="0.25">
      <c r="A586" s="6"/>
    </row>
    <row r="587" spans="1:5" x14ac:dyDescent="0.25">
      <c r="A587" s="4" t="s">
        <v>426</v>
      </c>
    </row>
    <row r="588" spans="1:5" x14ac:dyDescent="0.25">
      <c r="A588" s="12" t="s">
        <v>427</v>
      </c>
      <c r="B588" s="11" t="s">
        <v>428</v>
      </c>
      <c r="D588" s="4" t="s">
        <v>54</v>
      </c>
      <c r="E588" s="5">
        <v>106663</v>
      </c>
    </row>
    <row r="589" spans="1:5" x14ac:dyDescent="0.25">
      <c r="A589" s="12" t="s">
        <v>427</v>
      </c>
      <c r="B589" s="11" t="s">
        <v>14</v>
      </c>
      <c r="D589" s="4" t="s">
        <v>15</v>
      </c>
      <c r="E589" s="5">
        <v>42534</v>
      </c>
    </row>
    <row r="590" spans="1:5" x14ac:dyDescent="0.25">
      <c r="A590" s="12" t="s">
        <v>427</v>
      </c>
      <c r="B590" s="11" t="s">
        <v>17</v>
      </c>
      <c r="D590" s="4" t="s">
        <v>18</v>
      </c>
      <c r="E590" s="5">
        <f>E589*B3801</f>
        <v>2637.1080000000002</v>
      </c>
    </row>
    <row r="591" spans="1:5" x14ac:dyDescent="0.25">
      <c r="A591" s="12" t="s">
        <v>427</v>
      </c>
      <c r="B591" s="11" t="s">
        <v>19</v>
      </c>
      <c r="D591" s="4" t="s">
        <v>20</v>
      </c>
      <c r="E591" s="5">
        <f>SUM(E588:E589)*B3798</f>
        <v>2163.3565000000003</v>
      </c>
    </row>
    <row r="592" spans="1:5" x14ac:dyDescent="0.25">
      <c r="A592" s="12" t="s">
        <v>427</v>
      </c>
      <c r="B592" s="12" t="s">
        <v>40</v>
      </c>
      <c r="D592" s="4" t="s">
        <v>60</v>
      </c>
      <c r="E592" s="5">
        <f>E588*B3799</f>
        <v>3199.89</v>
      </c>
    </row>
    <row r="593" spans="1:6" x14ac:dyDescent="0.25">
      <c r="A593" s="12" t="s">
        <v>427</v>
      </c>
      <c r="B593" s="11" t="s">
        <v>21</v>
      </c>
      <c r="D593" s="4" t="s">
        <v>22</v>
      </c>
      <c r="E593" s="5">
        <f>E589*B3803</f>
        <v>9927.4356000000007</v>
      </c>
    </row>
    <row r="594" spans="1:6" x14ac:dyDescent="0.25">
      <c r="A594" s="12"/>
    </row>
    <row r="595" spans="1:6" x14ac:dyDescent="0.25">
      <c r="A595" s="4" t="s">
        <v>394</v>
      </c>
      <c r="E595" s="5">
        <f>SUM(E588:E593)</f>
        <v>167124.79010000001</v>
      </c>
    </row>
    <row r="596" spans="1:6" x14ac:dyDescent="0.25">
      <c r="A596" s="12"/>
    </row>
    <row r="597" spans="1:6" hidden="1" x14ac:dyDescent="0.25">
      <c r="A597" s="6" t="s">
        <v>429</v>
      </c>
    </row>
    <row r="598" spans="1:6" hidden="1" x14ac:dyDescent="0.25">
      <c r="A598" s="6" t="s">
        <v>12</v>
      </c>
    </row>
    <row r="599" spans="1:6" hidden="1" x14ac:dyDescent="0.25">
      <c r="A599" s="6" t="s">
        <v>430</v>
      </c>
      <c r="B599" s="6" t="s">
        <v>44</v>
      </c>
      <c r="D599" s="4" t="s">
        <v>120</v>
      </c>
      <c r="E599" s="5">
        <v>0</v>
      </c>
      <c r="F599" s="4" t="s">
        <v>4</v>
      </c>
    </row>
    <row r="600" spans="1:6" hidden="1" x14ac:dyDescent="0.25"/>
    <row r="601" spans="1:6" hidden="1" x14ac:dyDescent="0.25">
      <c r="A601" s="6" t="s">
        <v>431</v>
      </c>
      <c r="B601" s="6" t="s">
        <v>4</v>
      </c>
      <c r="C601" s="6" t="s">
        <v>4</v>
      </c>
      <c r="D601" s="4" t="s">
        <v>4</v>
      </c>
      <c r="E601" s="5">
        <f>E599</f>
        <v>0</v>
      </c>
    </row>
    <row r="602" spans="1:6" hidden="1" x14ac:dyDescent="0.25"/>
    <row r="603" spans="1:6" hidden="1" x14ac:dyDescent="0.25">
      <c r="A603" s="6" t="s">
        <v>432</v>
      </c>
    </row>
    <row r="604" spans="1:6" hidden="1" x14ac:dyDescent="0.25">
      <c r="A604" s="6" t="s">
        <v>12</v>
      </c>
    </row>
    <row r="605" spans="1:6" hidden="1" x14ac:dyDescent="0.25">
      <c r="A605" s="6" t="s">
        <v>433</v>
      </c>
      <c r="B605" s="6" t="s">
        <v>44</v>
      </c>
      <c r="D605" s="4" t="s">
        <v>120</v>
      </c>
      <c r="E605" s="5">
        <v>0</v>
      </c>
      <c r="F605" s="4" t="s">
        <v>434</v>
      </c>
    </row>
    <row r="606" spans="1:6" hidden="1" x14ac:dyDescent="0.25">
      <c r="F606" s="4" t="s">
        <v>435</v>
      </c>
    </row>
    <row r="607" spans="1:6" hidden="1" x14ac:dyDescent="0.25">
      <c r="A607" s="6" t="s">
        <v>436</v>
      </c>
      <c r="B607" s="6" t="s">
        <v>4</v>
      </c>
      <c r="C607" s="6" t="s">
        <v>4</v>
      </c>
      <c r="D607" s="4" t="s">
        <v>4</v>
      </c>
      <c r="E607" s="5">
        <f>E605</f>
        <v>0</v>
      </c>
      <c r="F607" s="4" t="s">
        <v>322</v>
      </c>
    </row>
    <row r="608" spans="1:6" hidden="1" x14ac:dyDescent="0.25"/>
    <row r="609" spans="1:6" x14ac:dyDescent="0.25">
      <c r="A609" s="6" t="s">
        <v>437</v>
      </c>
    </row>
    <row r="610" spans="1:6" x14ac:dyDescent="0.25">
      <c r="A610" s="6" t="s">
        <v>12</v>
      </c>
    </row>
    <row r="611" spans="1:6" x14ac:dyDescent="0.25">
      <c r="A611" s="6" t="s">
        <v>438</v>
      </c>
      <c r="B611" s="12" t="s">
        <v>14</v>
      </c>
      <c r="D611" s="4" t="s">
        <v>15</v>
      </c>
      <c r="E611" s="5">
        <v>0</v>
      </c>
    </row>
    <row r="612" spans="1:6" x14ac:dyDescent="0.25">
      <c r="A612" s="6" t="s">
        <v>438</v>
      </c>
      <c r="B612" s="6" t="s">
        <v>439</v>
      </c>
      <c r="D612" s="4" t="s">
        <v>440</v>
      </c>
      <c r="E612" s="5">
        <f>14140+2000+10860</f>
        <v>27000</v>
      </c>
    </row>
    <row r="613" spans="1:6" x14ac:dyDescent="0.25">
      <c r="A613" s="6" t="s">
        <v>438</v>
      </c>
      <c r="B613" s="11" t="s">
        <v>147</v>
      </c>
      <c r="D613" s="4" t="s">
        <v>441</v>
      </c>
      <c r="E613" s="5">
        <f>26400+1000+6000+1600</f>
        <v>35000</v>
      </c>
    </row>
    <row r="614" spans="1:6" x14ac:dyDescent="0.25">
      <c r="A614" s="6" t="s">
        <v>438</v>
      </c>
      <c r="B614" s="6" t="s">
        <v>442</v>
      </c>
      <c r="D614" s="4" t="s">
        <v>443</v>
      </c>
      <c r="E614" s="5">
        <v>0</v>
      </c>
    </row>
    <row r="615" spans="1:6" x14ac:dyDescent="0.25">
      <c r="A615" s="6" t="s">
        <v>438</v>
      </c>
      <c r="B615" s="6" t="s">
        <v>17</v>
      </c>
      <c r="D615" s="4" t="s">
        <v>18</v>
      </c>
      <c r="E615" s="5">
        <f>3100+1900</f>
        <v>5000</v>
      </c>
      <c r="F615" s="4" t="s">
        <v>444</v>
      </c>
    </row>
    <row r="616" spans="1:6" x14ac:dyDescent="0.25">
      <c r="A616" s="6" t="s">
        <v>438</v>
      </c>
      <c r="B616" s="6" t="s">
        <v>19</v>
      </c>
      <c r="D616" s="4" t="s">
        <v>20</v>
      </c>
      <c r="E616" s="5">
        <f>2600+1400</f>
        <v>4000</v>
      </c>
      <c r="F616" s="4" t="s">
        <v>444</v>
      </c>
    </row>
    <row r="617" spans="1:6" x14ac:dyDescent="0.25">
      <c r="A617" s="6" t="s">
        <v>438</v>
      </c>
      <c r="B617" s="6" t="s">
        <v>40</v>
      </c>
      <c r="D617" s="4" t="s">
        <v>60</v>
      </c>
      <c r="E617" s="5">
        <f>1500+1500+3000</f>
        <v>6000</v>
      </c>
      <c r="F617" s="4" t="s">
        <v>444</v>
      </c>
    </row>
    <row r="618" spans="1:6" x14ac:dyDescent="0.25">
      <c r="A618" s="6" t="s">
        <v>438</v>
      </c>
      <c r="B618" s="11" t="s">
        <v>21</v>
      </c>
      <c r="D618" s="4" t="s">
        <v>22</v>
      </c>
      <c r="E618" s="5">
        <f>7000+3000+3000</f>
        <v>13000</v>
      </c>
      <c r="F618" s="4" t="s">
        <v>444</v>
      </c>
    </row>
    <row r="619" spans="1:6" x14ac:dyDescent="0.25">
      <c r="A619" s="6" t="s">
        <v>438</v>
      </c>
      <c r="B619" s="6" t="s">
        <v>445</v>
      </c>
      <c r="D619" s="4" t="s">
        <v>446</v>
      </c>
      <c r="E619" s="5">
        <v>118106</v>
      </c>
      <c r="F619" s="12" t="s">
        <v>447</v>
      </c>
    </row>
    <row r="620" spans="1:6" x14ac:dyDescent="0.25">
      <c r="A620" s="6" t="s">
        <v>438</v>
      </c>
      <c r="B620" s="6" t="s">
        <v>142</v>
      </c>
      <c r="D620" s="4" t="s">
        <v>143</v>
      </c>
      <c r="E620" s="37">
        <f>300000+500000-150000-500000+50000</f>
        <v>200000</v>
      </c>
    </row>
    <row r="621" spans="1:6" x14ac:dyDescent="0.25">
      <c r="A621" s="6" t="s">
        <v>438</v>
      </c>
      <c r="B621" s="6" t="s">
        <v>142</v>
      </c>
      <c r="D621" s="4" t="s">
        <v>143</v>
      </c>
      <c r="E621" s="37">
        <f>500000+200000+70380.67</f>
        <v>770380.67</v>
      </c>
      <c r="F621" s="4" t="s">
        <v>448</v>
      </c>
    </row>
    <row r="622" spans="1:6" x14ac:dyDescent="0.25">
      <c r="A622" s="6" t="s">
        <v>438</v>
      </c>
      <c r="B622" s="6" t="s">
        <v>142</v>
      </c>
      <c r="D622" s="4" t="s">
        <v>143</v>
      </c>
      <c r="E622" s="37">
        <f>165000-165000</f>
        <v>0</v>
      </c>
      <c r="F622" s="4" t="s">
        <v>1571</v>
      </c>
    </row>
    <row r="623" spans="1:6" x14ac:dyDescent="0.25">
      <c r="A623" s="6" t="s">
        <v>438</v>
      </c>
      <c r="B623" s="6" t="s">
        <v>449</v>
      </c>
      <c r="D623" s="4" t="s">
        <v>450</v>
      </c>
      <c r="E623" s="5">
        <f>700*12</f>
        <v>8400</v>
      </c>
      <c r="F623" s="4" t="s">
        <v>451</v>
      </c>
    </row>
    <row r="624" spans="1:6" x14ac:dyDescent="0.25">
      <c r="A624" s="6" t="s">
        <v>438</v>
      </c>
      <c r="B624" s="6" t="s">
        <v>197</v>
      </c>
      <c r="D624" s="4" t="s">
        <v>198</v>
      </c>
      <c r="E624" s="5">
        <v>0</v>
      </c>
    </row>
    <row r="625" spans="1:6" x14ac:dyDescent="0.25">
      <c r="A625" s="6" t="s">
        <v>438</v>
      </c>
      <c r="B625" s="6" t="s">
        <v>61</v>
      </c>
      <c r="D625" s="4" t="s">
        <v>188</v>
      </c>
      <c r="E625" s="5">
        <v>25000</v>
      </c>
    </row>
    <row r="626" spans="1:6" x14ac:dyDescent="0.25">
      <c r="A626" s="6" t="s">
        <v>438</v>
      </c>
      <c r="B626" s="6" t="s">
        <v>452</v>
      </c>
      <c r="D626" s="4" t="s">
        <v>453</v>
      </c>
      <c r="E626" s="5">
        <f>21000+3920+7180</f>
        <v>32100</v>
      </c>
      <c r="F626" s="12" t="s">
        <v>454</v>
      </c>
    </row>
    <row r="627" spans="1:6" x14ac:dyDescent="0.25">
      <c r="A627" s="6" t="s">
        <v>438</v>
      </c>
      <c r="B627" s="6" t="s">
        <v>455</v>
      </c>
      <c r="D627" s="4" t="s">
        <v>456</v>
      </c>
      <c r="E627" s="5">
        <v>120000</v>
      </c>
    </row>
    <row r="628" spans="1:6" x14ac:dyDescent="0.25">
      <c r="A628" s="6" t="s">
        <v>438</v>
      </c>
      <c r="B628" s="11" t="s">
        <v>457</v>
      </c>
      <c r="D628" s="4" t="s">
        <v>458</v>
      </c>
      <c r="E628" s="5">
        <v>0</v>
      </c>
    </row>
    <row r="629" spans="1:6" x14ac:dyDescent="0.25">
      <c r="A629" s="6" t="s">
        <v>438</v>
      </c>
      <c r="B629" s="11" t="s">
        <v>44</v>
      </c>
      <c r="D629" s="4" t="s">
        <v>45</v>
      </c>
      <c r="E629" s="5">
        <v>10000</v>
      </c>
    </row>
    <row r="630" spans="1:6" x14ac:dyDescent="0.25">
      <c r="A630" s="6" t="s">
        <v>438</v>
      </c>
      <c r="B630" s="11" t="s">
        <v>44</v>
      </c>
      <c r="D630" s="4" t="s">
        <v>45</v>
      </c>
      <c r="E630" s="5">
        <v>7500</v>
      </c>
      <c r="F630" s="4" t="s">
        <v>459</v>
      </c>
    </row>
    <row r="631" spans="1:6" x14ac:dyDescent="0.25">
      <c r="A631" s="6" t="s">
        <v>438</v>
      </c>
      <c r="B631" s="11" t="s">
        <v>171</v>
      </c>
      <c r="D631" s="4" t="s">
        <v>460</v>
      </c>
      <c r="E631" s="5">
        <v>500</v>
      </c>
    </row>
    <row r="632" spans="1:6" x14ac:dyDescent="0.25">
      <c r="A632" s="6" t="s">
        <v>438</v>
      </c>
      <c r="B632" s="6" t="s">
        <v>461</v>
      </c>
      <c r="D632" s="4" t="s">
        <v>462</v>
      </c>
      <c r="E632" s="5">
        <v>440160</v>
      </c>
      <c r="F632" s="12" t="s">
        <v>447</v>
      </c>
    </row>
    <row r="633" spans="1:6" x14ac:dyDescent="0.25">
      <c r="A633" s="6" t="s">
        <v>438</v>
      </c>
      <c r="B633" s="6" t="s">
        <v>463</v>
      </c>
      <c r="D633" s="4" t="s">
        <v>464</v>
      </c>
      <c r="E633" s="5">
        <v>50184</v>
      </c>
      <c r="F633" s="12" t="s">
        <v>447</v>
      </c>
    </row>
    <row r="634" spans="1:6" x14ac:dyDescent="0.25">
      <c r="A634" s="6" t="s">
        <v>438</v>
      </c>
      <c r="B634" s="11" t="s">
        <v>465</v>
      </c>
      <c r="D634" s="4" t="s">
        <v>466</v>
      </c>
      <c r="E634" s="5">
        <f>30000-30000</f>
        <v>0</v>
      </c>
      <c r="F634" s="12" t="s">
        <v>467</v>
      </c>
    </row>
    <row r="635" spans="1:6" x14ac:dyDescent="0.25">
      <c r="A635" s="6" t="s">
        <v>438</v>
      </c>
      <c r="B635" s="11" t="s">
        <v>468</v>
      </c>
      <c r="D635" s="4" t="s">
        <v>469</v>
      </c>
      <c r="E635" s="5">
        <v>500</v>
      </c>
    </row>
    <row r="636" spans="1:6" x14ac:dyDescent="0.25">
      <c r="A636" s="6" t="s">
        <v>438</v>
      </c>
      <c r="B636" s="11" t="s">
        <v>90</v>
      </c>
      <c r="D636" s="4" t="s">
        <v>470</v>
      </c>
      <c r="E636" s="5">
        <v>5000</v>
      </c>
    </row>
    <row r="637" spans="1:6" x14ac:dyDescent="0.25">
      <c r="A637" s="6" t="s">
        <v>438</v>
      </c>
      <c r="B637" s="11" t="s">
        <v>68</v>
      </c>
      <c r="D637" s="4" t="s">
        <v>69</v>
      </c>
      <c r="E637" s="5">
        <v>0</v>
      </c>
    </row>
    <row r="638" spans="1:6" x14ac:dyDescent="0.25">
      <c r="A638" s="6" t="s">
        <v>438</v>
      </c>
      <c r="B638" s="6" t="s">
        <v>70</v>
      </c>
      <c r="D638" s="4" t="s">
        <v>471</v>
      </c>
      <c r="E638" s="5">
        <f>15000+1000+458+138</f>
        <v>16596</v>
      </c>
    </row>
    <row r="639" spans="1:6" x14ac:dyDescent="0.25">
      <c r="A639" s="6" t="s">
        <v>438</v>
      </c>
      <c r="B639" s="6" t="s">
        <v>472</v>
      </c>
      <c r="D639" s="4" t="s">
        <v>473</v>
      </c>
      <c r="E639" s="5">
        <v>0</v>
      </c>
    </row>
    <row r="640" spans="1:6" x14ac:dyDescent="0.25">
      <c r="A640" s="6" t="s">
        <v>438</v>
      </c>
      <c r="B640" s="6" t="s">
        <v>46</v>
      </c>
      <c r="D640" s="4" t="s">
        <v>47</v>
      </c>
      <c r="E640" s="5">
        <v>12000</v>
      </c>
    </row>
    <row r="641" spans="1:10" x14ac:dyDescent="0.25">
      <c r="A641" s="6" t="s">
        <v>438</v>
      </c>
      <c r="B641" s="11" t="s">
        <v>72</v>
      </c>
      <c r="D641" s="4" t="s">
        <v>111</v>
      </c>
      <c r="E641" s="5">
        <v>8500</v>
      </c>
    </row>
    <row r="642" spans="1:10" x14ac:dyDescent="0.25">
      <c r="A642" s="6" t="s">
        <v>438</v>
      </c>
      <c r="B642" s="11" t="s">
        <v>74</v>
      </c>
      <c r="D642" s="4" t="s">
        <v>75</v>
      </c>
      <c r="E642" s="5">
        <v>500</v>
      </c>
    </row>
    <row r="643" spans="1:10" x14ac:dyDescent="0.25">
      <c r="A643" s="6" t="s">
        <v>438</v>
      </c>
      <c r="B643" s="11" t="s">
        <v>423</v>
      </c>
      <c r="D643" s="4" t="s">
        <v>474</v>
      </c>
      <c r="E643" s="5">
        <v>0</v>
      </c>
    </row>
    <row r="644" spans="1:10" x14ac:dyDescent="0.25">
      <c r="A644" s="6" t="s">
        <v>438</v>
      </c>
      <c r="B644" s="11" t="s">
        <v>48</v>
      </c>
      <c r="D644" s="4" t="s">
        <v>49</v>
      </c>
      <c r="E644" s="5">
        <v>2000</v>
      </c>
    </row>
    <row r="645" spans="1:10" x14ac:dyDescent="0.25">
      <c r="A645" s="6" t="s">
        <v>438</v>
      </c>
      <c r="B645" s="11" t="s">
        <v>339</v>
      </c>
      <c r="D645" s="4" t="s">
        <v>475</v>
      </c>
      <c r="E645" s="15">
        <v>5000</v>
      </c>
      <c r="F645" s="4" t="s">
        <v>476</v>
      </c>
    </row>
    <row r="646" spans="1:10" x14ac:dyDescent="0.25">
      <c r="A646" s="6" t="s">
        <v>438</v>
      </c>
      <c r="B646" s="6" t="s">
        <v>298</v>
      </c>
      <c r="D646" s="4" t="s">
        <v>477</v>
      </c>
      <c r="E646" s="5">
        <v>40000</v>
      </c>
      <c r="F646" s="4" t="s">
        <v>478</v>
      </c>
    </row>
    <row r="647" spans="1:10" x14ac:dyDescent="0.25">
      <c r="A647" s="6" t="s">
        <v>438</v>
      </c>
      <c r="B647" s="11" t="s">
        <v>479</v>
      </c>
      <c r="D647" s="4" t="s">
        <v>480</v>
      </c>
      <c r="E647" s="5">
        <v>10000</v>
      </c>
      <c r="F647" s="4" t="s">
        <v>481</v>
      </c>
    </row>
    <row r="648" spans="1:10" x14ac:dyDescent="0.25">
      <c r="A648" s="6" t="s">
        <v>438</v>
      </c>
      <c r="B648" s="11" t="s">
        <v>482</v>
      </c>
      <c r="D648" s="4" t="s">
        <v>483</v>
      </c>
      <c r="E648" s="5">
        <v>0</v>
      </c>
    </row>
    <row r="650" spans="1:10" x14ac:dyDescent="0.25">
      <c r="A650" s="6" t="s">
        <v>484</v>
      </c>
      <c r="B650" s="6" t="s">
        <v>4</v>
      </c>
      <c r="C650" s="6" t="s">
        <v>4</v>
      </c>
      <c r="D650" s="4" t="s">
        <v>4</v>
      </c>
      <c r="E650" s="5">
        <f>SUM(E611:E648)</f>
        <v>1972426.67</v>
      </c>
      <c r="F650" s="6"/>
      <c r="J650" s="13"/>
    </row>
    <row r="652" spans="1:10" x14ac:dyDescent="0.25">
      <c r="A652" s="6" t="s">
        <v>485</v>
      </c>
    </row>
    <row r="653" spans="1:10" x14ac:dyDescent="0.25">
      <c r="A653" s="6" t="s">
        <v>12</v>
      </c>
    </row>
    <row r="654" spans="1:10" x14ac:dyDescent="0.25">
      <c r="A654" s="6" t="s">
        <v>486</v>
      </c>
      <c r="B654" s="6" t="s">
        <v>487</v>
      </c>
      <c r="D654" s="4" t="s">
        <v>488</v>
      </c>
      <c r="E654" s="15">
        <f>320000+20000+15000+10000+20000</f>
        <v>385000</v>
      </c>
      <c r="F654" s="4" t="s">
        <v>489</v>
      </c>
    </row>
    <row r="655" spans="1:10" x14ac:dyDescent="0.25">
      <c r="F655" s="4" t="s">
        <v>490</v>
      </c>
    </row>
    <row r="656" spans="1:10" x14ac:dyDescent="0.25">
      <c r="A656" s="6" t="s">
        <v>491</v>
      </c>
      <c r="B656" s="6" t="s">
        <v>4</v>
      </c>
      <c r="C656" s="6" t="s">
        <v>4</v>
      </c>
      <c r="D656" s="4" t="s">
        <v>4</v>
      </c>
      <c r="E656" s="5">
        <f>E654</f>
        <v>385000</v>
      </c>
    </row>
    <row r="657" spans="1:6" x14ac:dyDescent="0.25">
      <c r="F657" s="12"/>
    </row>
    <row r="658" spans="1:6" x14ac:dyDescent="0.25">
      <c r="A658" s="6" t="s">
        <v>492</v>
      </c>
    </row>
    <row r="659" spans="1:6" x14ac:dyDescent="0.25">
      <c r="A659" s="6" t="s">
        <v>12</v>
      </c>
    </row>
    <row r="660" spans="1:6" x14ac:dyDescent="0.25">
      <c r="A660" s="6" t="s">
        <v>493</v>
      </c>
      <c r="B660" s="6" t="s">
        <v>53</v>
      </c>
      <c r="D660" s="4" t="s">
        <v>54</v>
      </c>
      <c r="E660" s="5">
        <v>78622</v>
      </c>
    </row>
    <row r="661" spans="1:6" x14ac:dyDescent="0.25">
      <c r="A661" s="6" t="s">
        <v>493</v>
      </c>
      <c r="B661" s="6" t="s">
        <v>55</v>
      </c>
      <c r="D661" s="4" t="s">
        <v>56</v>
      </c>
      <c r="E661" s="5">
        <v>23375</v>
      </c>
    </row>
    <row r="662" spans="1:6" x14ac:dyDescent="0.25">
      <c r="A662" s="6" t="s">
        <v>493</v>
      </c>
      <c r="B662" s="6" t="s">
        <v>32</v>
      </c>
      <c r="D662" s="4" t="s">
        <v>33</v>
      </c>
      <c r="E662" s="5">
        <v>74692</v>
      </c>
    </row>
    <row r="663" spans="1:6" x14ac:dyDescent="0.25">
      <c r="A663" s="6" t="s">
        <v>493</v>
      </c>
      <c r="B663" s="6" t="s">
        <v>14</v>
      </c>
      <c r="D663" s="4" t="s">
        <v>15</v>
      </c>
      <c r="E663" s="5">
        <v>114558</v>
      </c>
    </row>
    <row r="664" spans="1:6" x14ac:dyDescent="0.25">
      <c r="A664" s="6" t="s">
        <v>493</v>
      </c>
      <c r="B664" s="11" t="s">
        <v>25</v>
      </c>
      <c r="D664" s="4" t="s">
        <v>58</v>
      </c>
      <c r="E664" s="5">
        <f>10000-5000</f>
        <v>5000</v>
      </c>
    </row>
    <row r="665" spans="1:6" x14ac:dyDescent="0.25">
      <c r="A665" s="6" t="s">
        <v>493</v>
      </c>
      <c r="B665" s="6" t="s">
        <v>36</v>
      </c>
      <c r="D665" s="4" t="s">
        <v>157</v>
      </c>
      <c r="E665" s="5">
        <v>1000</v>
      </c>
    </row>
    <row r="666" spans="1:6" x14ac:dyDescent="0.25">
      <c r="A666" s="6" t="s">
        <v>493</v>
      </c>
      <c r="B666" s="6" t="s">
        <v>17</v>
      </c>
      <c r="D666" s="4" t="s">
        <v>18</v>
      </c>
      <c r="E666" s="5">
        <f>SUM(E663:E665)*B3801</f>
        <v>7474.5959999999995</v>
      </c>
    </row>
    <row r="667" spans="1:6" x14ac:dyDescent="0.25">
      <c r="A667" s="6" t="s">
        <v>493</v>
      </c>
      <c r="B667" s="6" t="s">
        <v>19</v>
      </c>
      <c r="D667" s="4" t="s">
        <v>20</v>
      </c>
      <c r="E667" s="5">
        <f>SUM(E660:E665)*B3802</f>
        <v>4310.0815000000002</v>
      </c>
    </row>
    <row r="668" spans="1:6" x14ac:dyDescent="0.25">
      <c r="A668" s="6" t="s">
        <v>493</v>
      </c>
      <c r="B668" s="6" t="s">
        <v>40</v>
      </c>
      <c r="D668" s="4" t="s">
        <v>60</v>
      </c>
      <c r="E668" s="5">
        <f>SUM(E660:E662)*B3799</f>
        <v>5300.67</v>
      </c>
    </row>
    <row r="669" spans="1:6" x14ac:dyDescent="0.25">
      <c r="A669" s="6" t="s">
        <v>493</v>
      </c>
      <c r="B669" s="6" t="s">
        <v>21</v>
      </c>
      <c r="D669" s="4" t="s">
        <v>22</v>
      </c>
      <c r="E669" s="5">
        <f>SUM(E663:E665)*B3803</f>
        <v>28138.2372</v>
      </c>
    </row>
    <row r="670" spans="1:6" x14ac:dyDescent="0.25">
      <c r="A670" s="6" t="s">
        <v>493</v>
      </c>
      <c r="B670" s="11" t="s">
        <v>316</v>
      </c>
      <c r="D670" s="4" t="s">
        <v>494</v>
      </c>
      <c r="E670" s="15">
        <f>27270+12200+9000+16530+5000</f>
        <v>70000</v>
      </c>
      <c r="F670" s="4" t="s">
        <v>495</v>
      </c>
    </row>
    <row r="671" spans="1:6" x14ac:dyDescent="0.25">
      <c r="A671" s="6" t="s">
        <v>493</v>
      </c>
      <c r="B671" s="6" t="s">
        <v>197</v>
      </c>
      <c r="D671" s="4" t="s">
        <v>198</v>
      </c>
      <c r="E671" s="5">
        <v>0</v>
      </c>
      <c r="F671" s="4" t="s">
        <v>496</v>
      </c>
    </row>
    <row r="672" spans="1:6" x14ac:dyDescent="0.25">
      <c r="A672" s="6" t="s">
        <v>493</v>
      </c>
      <c r="B672" s="6" t="s">
        <v>61</v>
      </c>
      <c r="D672" s="4" t="s">
        <v>188</v>
      </c>
      <c r="E672" s="5">
        <f>5000+299-299</f>
        <v>5000</v>
      </c>
    </row>
    <row r="673" spans="1:5" x14ac:dyDescent="0.25">
      <c r="A673" s="6" t="s">
        <v>493</v>
      </c>
      <c r="B673" s="11" t="s">
        <v>44</v>
      </c>
      <c r="D673" s="4" t="s">
        <v>45</v>
      </c>
      <c r="E673" s="5">
        <v>7000</v>
      </c>
    </row>
    <row r="674" spans="1:5" x14ac:dyDescent="0.25">
      <c r="A674" s="6" t="s">
        <v>493</v>
      </c>
      <c r="B674" s="11" t="s">
        <v>171</v>
      </c>
      <c r="D674" s="4" t="s">
        <v>497</v>
      </c>
      <c r="E674" s="5">
        <v>700</v>
      </c>
    </row>
    <row r="675" spans="1:5" x14ac:dyDescent="0.25">
      <c r="A675" s="6" t="s">
        <v>493</v>
      </c>
      <c r="B675" s="11" t="s">
        <v>88</v>
      </c>
      <c r="D675" s="4" t="s">
        <v>89</v>
      </c>
      <c r="E675" s="5">
        <v>0</v>
      </c>
    </row>
    <row r="676" spans="1:5" x14ac:dyDescent="0.25">
      <c r="A676" s="6" t="s">
        <v>493</v>
      </c>
      <c r="B676" s="6" t="s">
        <v>66</v>
      </c>
      <c r="D676" s="4" t="s">
        <v>67</v>
      </c>
      <c r="E676" s="5">
        <v>1350</v>
      </c>
    </row>
    <row r="677" spans="1:5" x14ac:dyDescent="0.25">
      <c r="A677" s="6" t="s">
        <v>493</v>
      </c>
      <c r="B677" s="11" t="s">
        <v>468</v>
      </c>
      <c r="D677" s="4" t="s">
        <v>469</v>
      </c>
      <c r="E677" s="5">
        <v>350</v>
      </c>
    </row>
    <row r="678" spans="1:5" x14ac:dyDescent="0.25">
      <c r="A678" s="6" t="s">
        <v>493</v>
      </c>
      <c r="B678" s="11" t="s">
        <v>68</v>
      </c>
      <c r="D678" s="4" t="s">
        <v>69</v>
      </c>
      <c r="E678" s="5">
        <v>1000</v>
      </c>
    </row>
    <row r="679" spans="1:5" x14ac:dyDescent="0.25">
      <c r="A679" s="6" t="s">
        <v>493</v>
      </c>
      <c r="B679" s="11" t="s">
        <v>70</v>
      </c>
      <c r="D679" s="4" t="s">
        <v>354</v>
      </c>
      <c r="E679" s="5">
        <v>7150</v>
      </c>
    </row>
    <row r="680" spans="1:5" x14ac:dyDescent="0.25">
      <c r="A680" s="6" t="s">
        <v>493</v>
      </c>
      <c r="B680" s="6" t="s">
        <v>46</v>
      </c>
      <c r="D680" s="4" t="s">
        <v>47</v>
      </c>
      <c r="E680" s="5">
        <v>3500</v>
      </c>
    </row>
    <row r="681" spans="1:5" x14ac:dyDescent="0.25">
      <c r="A681" s="6" t="s">
        <v>493</v>
      </c>
      <c r="B681" s="11" t="s">
        <v>72</v>
      </c>
      <c r="D681" s="4" t="s">
        <v>111</v>
      </c>
      <c r="E681" s="5">
        <v>7000</v>
      </c>
    </row>
    <row r="682" spans="1:5" x14ac:dyDescent="0.25">
      <c r="A682" s="6" t="s">
        <v>493</v>
      </c>
      <c r="B682" s="6" t="s">
        <v>498</v>
      </c>
      <c r="D682" s="4" t="s">
        <v>499</v>
      </c>
      <c r="E682" s="5">
        <v>300</v>
      </c>
    </row>
    <row r="683" spans="1:5" x14ac:dyDescent="0.25">
      <c r="A683" s="6" t="s">
        <v>493</v>
      </c>
      <c r="B683" s="11" t="s">
        <v>74</v>
      </c>
      <c r="D683" s="4" t="s">
        <v>75</v>
      </c>
      <c r="E683" s="5">
        <v>500</v>
      </c>
    </row>
    <row r="684" spans="1:5" x14ac:dyDescent="0.25">
      <c r="A684" s="6" t="s">
        <v>493</v>
      </c>
      <c r="B684" s="11" t="s">
        <v>48</v>
      </c>
      <c r="D684" s="4" t="s">
        <v>49</v>
      </c>
      <c r="E684" s="5">
        <v>800</v>
      </c>
    </row>
    <row r="685" spans="1:5" x14ac:dyDescent="0.25">
      <c r="A685" s="6" t="s">
        <v>493</v>
      </c>
      <c r="B685" s="6" t="s">
        <v>76</v>
      </c>
      <c r="D685" s="4" t="s">
        <v>77</v>
      </c>
      <c r="E685" s="5">
        <v>0</v>
      </c>
    </row>
    <row r="686" spans="1:5" x14ac:dyDescent="0.25">
      <c r="A686" s="6" t="s">
        <v>493</v>
      </c>
      <c r="B686" s="6" t="s">
        <v>500</v>
      </c>
      <c r="D686" s="4" t="s">
        <v>501</v>
      </c>
      <c r="E686" s="5">
        <f>9000-9000</f>
        <v>0</v>
      </c>
    </row>
    <row r="687" spans="1:5" x14ac:dyDescent="0.25">
      <c r="A687" s="6" t="s">
        <v>493</v>
      </c>
      <c r="B687" s="6" t="s">
        <v>78</v>
      </c>
      <c r="D687" s="4" t="s">
        <v>230</v>
      </c>
      <c r="E687" s="5">
        <v>1000</v>
      </c>
    </row>
    <row r="688" spans="1:5" x14ac:dyDescent="0.25">
      <c r="A688" s="6" t="s">
        <v>493</v>
      </c>
      <c r="B688" s="11" t="s">
        <v>80</v>
      </c>
      <c r="D688" s="4" t="s">
        <v>376</v>
      </c>
      <c r="E688" s="5">
        <v>10000</v>
      </c>
    </row>
    <row r="689" spans="1:6" x14ac:dyDescent="0.25">
      <c r="A689" s="6" t="s">
        <v>493</v>
      </c>
      <c r="B689" s="11" t="s">
        <v>298</v>
      </c>
      <c r="D689" s="4" t="s">
        <v>299</v>
      </c>
      <c r="E689" s="5">
        <v>4500</v>
      </c>
    </row>
    <row r="690" spans="1:6" x14ac:dyDescent="0.25">
      <c r="A690" s="6" t="s">
        <v>493</v>
      </c>
      <c r="B690" s="6" t="s">
        <v>479</v>
      </c>
      <c r="D690" s="4" t="s">
        <v>502</v>
      </c>
      <c r="E690" s="5">
        <v>0</v>
      </c>
    </row>
    <row r="692" spans="1:6" x14ac:dyDescent="0.25">
      <c r="A692" s="6" t="s">
        <v>503</v>
      </c>
      <c r="B692" s="6" t="s">
        <v>4</v>
      </c>
      <c r="C692" s="6" t="s">
        <v>4</v>
      </c>
      <c r="D692" s="4" t="s">
        <v>4</v>
      </c>
      <c r="E692" s="5">
        <f>SUM(E660:E690)</f>
        <v>462620.58469999995</v>
      </c>
    </row>
    <row r="693" spans="1:6" hidden="1" x14ac:dyDescent="0.25"/>
    <row r="694" spans="1:6" hidden="1" x14ac:dyDescent="0.25">
      <c r="A694" s="6" t="s">
        <v>504</v>
      </c>
    </row>
    <row r="695" spans="1:6" hidden="1" x14ac:dyDescent="0.25">
      <c r="A695" s="6" t="s">
        <v>12</v>
      </c>
    </row>
    <row r="696" spans="1:6" hidden="1" x14ac:dyDescent="0.25">
      <c r="A696" s="6" t="s">
        <v>505</v>
      </c>
      <c r="B696" s="6" t="s">
        <v>128</v>
      </c>
      <c r="D696" s="4" t="s">
        <v>229</v>
      </c>
      <c r="E696" s="5">
        <v>0</v>
      </c>
      <c r="F696" s="4" t="s">
        <v>4</v>
      </c>
    </row>
    <row r="697" spans="1:6" hidden="1" x14ac:dyDescent="0.25"/>
    <row r="698" spans="1:6" hidden="1" x14ac:dyDescent="0.25">
      <c r="A698" s="6" t="s">
        <v>506</v>
      </c>
      <c r="B698" s="6" t="s">
        <v>4</v>
      </c>
      <c r="C698" s="6" t="s">
        <v>4</v>
      </c>
      <c r="D698" s="4" t="s">
        <v>4</v>
      </c>
      <c r="E698" s="5">
        <f>E696</f>
        <v>0</v>
      </c>
    </row>
    <row r="700" spans="1:6" x14ac:dyDescent="0.25">
      <c r="A700" s="6" t="s">
        <v>507</v>
      </c>
    </row>
    <row r="701" spans="1:6" x14ac:dyDescent="0.25">
      <c r="A701" s="6" t="s">
        <v>12</v>
      </c>
    </row>
    <row r="702" spans="1:6" x14ac:dyDescent="0.25">
      <c r="A702" s="6" t="s">
        <v>508</v>
      </c>
      <c r="B702" s="11" t="s">
        <v>14</v>
      </c>
      <c r="D702" s="4" t="s">
        <v>54</v>
      </c>
      <c r="E702" s="5">
        <v>126474</v>
      </c>
      <c r="F702" s="4" t="s">
        <v>509</v>
      </c>
    </row>
    <row r="703" spans="1:6" x14ac:dyDescent="0.25">
      <c r="A703" s="6" t="s">
        <v>508</v>
      </c>
      <c r="B703" s="6" t="s">
        <v>14</v>
      </c>
      <c r="D703" s="4" t="s">
        <v>15</v>
      </c>
      <c r="E703" s="5">
        <v>0</v>
      </c>
    </row>
    <row r="704" spans="1:6" x14ac:dyDescent="0.25">
      <c r="A704" s="6" t="s">
        <v>508</v>
      </c>
      <c r="B704" s="6" t="s">
        <v>14</v>
      </c>
      <c r="D704" s="4" t="s">
        <v>15</v>
      </c>
      <c r="E704" s="5">
        <v>0</v>
      </c>
    </row>
    <row r="705" spans="1:6" x14ac:dyDescent="0.25">
      <c r="A705" s="6" t="s">
        <v>508</v>
      </c>
      <c r="B705" s="6" t="s">
        <v>17</v>
      </c>
      <c r="D705" s="4" t="s">
        <v>18</v>
      </c>
      <c r="E705" s="5">
        <f>E703*B3801</f>
        <v>0</v>
      </c>
    </row>
    <row r="706" spans="1:6" x14ac:dyDescent="0.25">
      <c r="A706" s="6" t="s">
        <v>508</v>
      </c>
      <c r="B706" s="6" t="s">
        <v>19</v>
      </c>
      <c r="D706" s="4" t="s">
        <v>20</v>
      </c>
      <c r="E706" s="5">
        <f>SUM(E702:E703)*B3802</f>
        <v>1833.873</v>
      </c>
    </row>
    <row r="707" spans="1:6" x14ac:dyDescent="0.25">
      <c r="A707" s="6" t="s">
        <v>508</v>
      </c>
      <c r="B707" s="6" t="s">
        <v>40</v>
      </c>
      <c r="D707" s="4" t="s">
        <v>60</v>
      </c>
      <c r="E707" s="5">
        <f>E702*B3799</f>
        <v>3794.22</v>
      </c>
    </row>
    <row r="708" spans="1:6" x14ac:dyDescent="0.25">
      <c r="A708" s="6" t="s">
        <v>508</v>
      </c>
      <c r="B708" s="6" t="s">
        <v>21</v>
      </c>
      <c r="D708" s="4" t="s">
        <v>22</v>
      </c>
      <c r="E708" s="5">
        <f>E703*B3803</f>
        <v>0</v>
      </c>
    </row>
    <row r="709" spans="1:6" x14ac:dyDescent="0.25">
      <c r="A709" s="6" t="s">
        <v>508</v>
      </c>
      <c r="B709" s="6" t="s">
        <v>197</v>
      </c>
      <c r="D709" s="4" t="s">
        <v>198</v>
      </c>
      <c r="E709" s="5">
        <v>5900</v>
      </c>
    </row>
    <row r="710" spans="1:6" x14ac:dyDescent="0.25">
      <c r="A710" s="6" t="s">
        <v>508</v>
      </c>
      <c r="B710" s="6" t="s">
        <v>61</v>
      </c>
      <c r="D710" s="4" t="s">
        <v>188</v>
      </c>
      <c r="E710" s="5">
        <v>1000</v>
      </c>
    </row>
    <row r="711" spans="1:6" x14ac:dyDescent="0.25">
      <c r="A711" s="6" t="s">
        <v>508</v>
      </c>
      <c r="B711" s="11" t="s">
        <v>44</v>
      </c>
      <c r="D711" s="4" t="s">
        <v>45</v>
      </c>
      <c r="E711" s="5">
        <v>13000</v>
      </c>
      <c r="F711" s="4" t="s">
        <v>510</v>
      </c>
    </row>
    <row r="712" spans="1:6" x14ac:dyDescent="0.25">
      <c r="A712" s="6" t="s">
        <v>508</v>
      </c>
      <c r="B712" s="11" t="s">
        <v>511</v>
      </c>
      <c r="D712" s="4" t="s">
        <v>512</v>
      </c>
      <c r="E712" s="5">
        <v>650</v>
      </c>
    </row>
    <row r="713" spans="1:6" x14ac:dyDescent="0.25">
      <c r="A713" s="6" t="s">
        <v>508</v>
      </c>
      <c r="B713" s="11" t="s">
        <v>70</v>
      </c>
      <c r="D713" s="4" t="s">
        <v>110</v>
      </c>
      <c r="E713" s="5">
        <v>2500</v>
      </c>
    </row>
    <row r="714" spans="1:6" x14ac:dyDescent="0.25">
      <c r="A714" s="6" t="s">
        <v>508</v>
      </c>
      <c r="B714" s="6" t="s">
        <v>46</v>
      </c>
      <c r="D714" s="4" t="s">
        <v>47</v>
      </c>
      <c r="E714" s="5">
        <v>500</v>
      </c>
    </row>
    <row r="715" spans="1:6" x14ac:dyDescent="0.25">
      <c r="A715" s="6" t="s">
        <v>508</v>
      </c>
      <c r="B715" s="11" t="s">
        <v>72</v>
      </c>
      <c r="D715" s="4" t="s">
        <v>111</v>
      </c>
      <c r="E715" s="5">
        <v>200</v>
      </c>
    </row>
    <row r="716" spans="1:6" x14ac:dyDescent="0.25">
      <c r="A716" s="6" t="s">
        <v>508</v>
      </c>
      <c r="B716" s="11" t="s">
        <v>78</v>
      </c>
      <c r="D716" s="4" t="s">
        <v>230</v>
      </c>
      <c r="E716" s="5">
        <v>1000</v>
      </c>
    </row>
    <row r="717" spans="1:6" x14ac:dyDescent="0.25">
      <c r="A717" s="6" t="s">
        <v>508</v>
      </c>
      <c r="B717" s="11" t="s">
        <v>339</v>
      </c>
      <c r="D717" s="4" t="s">
        <v>340</v>
      </c>
      <c r="E717" s="5">
        <v>1400</v>
      </c>
    </row>
    <row r="718" spans="1:6" x14ac:dyDescent="0.25">
      <c r="A718" s="6" t="s">
        <v>508</v>
      </c>
      <c r="B718" s="11" t="s">
        <v>298</v>
      </c>
      <c r="D718" s="4" t="s">
        <v>299</v>
      </c>
      <c r="E718" s="5">
        <v>250</v>
      </c>
    </row>
    <row r="720" spans="1:6" x14ac:dyDescent="0.25">
      <c r="A720" s="6" t="s">
        <v>513</v>
      </c>
      <c r="B720" s="6" t="s">
        <v>4</v>
      </c>
      <c r="C720" s="6" t="s">
        <v>4</v>
      </c>
      <c r="D720" s="4" t="s">
        <v>4</v>
      </c>
      <c r="E720" s="5">
        <f>SUM(E702:E718)</f>
        <v>158502.09299999999</v>
      </c>
    </row>
    <row r="722" spans="1:5" x14ac:dyDescent="0.25">
      <c r="A722" s="6" t="s">
        <v>514</v>
      </c>
    </row>
    <row r="723" spans="1:5" x14ac:dyDescent="0.25">
      <c r="A723" s="6" t="s">
        <v>12</v>
      </c>
    </row>
    <row r="724" spans="1:5" x14ac:dyDescent="0.25">
      <c r="A724" s="6" t="s">
        <v>515</v>
      </c>
      <c r="B724" s="6" t="s">
        <v>14</v>
      </c>
      <c r="D724" s="4" t="s">
        <v>15</v>
      </c>
      <c r="E724" s="5">
        <f>130225+50000</f>
        <v>180225</v>
      </c>
    </row>
    <row r="725" spans="1:5" x14ac:dyDescent="0.25">
      <c r="A725" s="6" t="s">
        <v>515</v>
      </c>
      <c r="B725" s="11" t="s">
        <v>25</v>
      </c>
      <c r="D725" s="4" t="s">
        <v>58</v>
      </c>
      <c r="E725" s="5">
        <v>20000</v>
      </c>
    </row>
    <row r="726" spans="1:5" x14ac:dyDescent="0.25">
      <c r="A726" s="6" t="s">
        <v>515</v>
      </c>
      <c r="B726" s="6" t="s">
        <v>36</v>
      </c>
      <c r="D726" s="4" t="s">
        <v>157</v>
      </c>
      <c r="E726" s="5">
        <v>0</v>
      </c>
    </row>
    <row r="727" spans="1:5" x14ac:dyDescent="0.25">
      <c r="A727" s="6" t="s">
        <v>515</v>
      </c>
      <c r="B727" s="6" t="s">
        <v>17</v>
      </c>
      <c r="D727" s="4" t="s">
        <v>18</v>
      </c>
      <c r="E727" s="5">
        <f>SUM(E724:E726)*B3801</f>
        <v>12413.95</v>
      </c>
    </row>
    <row r="728" spans="1:5" x14ac:dyDescent="0.25">
      <c r="A728" s="6" t="s">
        <v>515</v>
      </c>
      <c r="B728" s="6" t="s">
        <v>19</v>
      </c>
      <c r="D728" s="4" t="s">
        <v>20</v>
      </c>
      <c r="E728" s="5">
        <f>SUM(E724:E726)*B3802</f>
        <v>2903.2625000000003</v>
      </c>
    </row>
    <row r="729" spans="1:5" x14ac:dyDescent="0.25">
      <c r="A729" s="6" t="s">
        <v>515</v>
      </c>
      <c r="B729" s="6" t="s">
        <v>21</v>
      </c>
      <c r="D729" s="4" t="s">
        <v>22</v>
      </c>
      <c r="E729" s="5">
        <f>SUM(E724:E726)*B3803</f>
        <v>46732.514999999999</v>
      </c>
    </row>
    <row r="730" spans="1:5" x14ac:dyDescent="0.25">
      <c r="A730" s="6" t="s">
        <v>515</v>
      </c>
      <c r="B730" s="6" t="s">
        <v>61</v>
      </c>
      <c r="D730" s="4" t="s">
        <v>188</v>
      </c>
      <c r="E730" s="5">
        <v>2000</v>
      </c>
    </row>
    <row r="731" spans="1:5" x14ac:dyDescent="0.25">
      <c r="A731" s="6" t="s">
        <v>515</v>
      </c>
      <c r="B731" s="11" t="s">
        <v>44</v>
      </c>
      <c r="D731" s="4" t="s">
        <v>45</v>
      </c>
      <c r="E731" s="5">
        <v>2800</v>
      </c>
    </row>
    <row r="732" spans="1:5" x14ac:dyDescent="0.25">
      <c r="A732" s="6" t="s">
        <v>515</v>
      </c>
      <c r="B732" s="11" t="s">
        <v>171</v>
      </c>
      <c r="D732" s="4" t="s">
        <v>516</v>
      </c>
      <c r="E732" s="5">
        <v>700</v>
      </c>
    </row>
    <row r="733" spans="1:5" x14ac:dyDescent="0.25">
      <c r="A733" s="6" t="s">
        <v>515</v>
      </c>
      <c r="B733" s="11" t="s">
        <v>88</v>
      </c>
      <c r="D733" s="4" t="s">
        <v>89</v>
      </c>
      <c r="E733" s="5">
        <v>0</v>
      </c>
    </row>
    <row r="734" spans="1:5" x14ac:dyDescent="0.25">
      <c r="A734" s="6" t="s">
        <v>515</v>
      </c>
      <c r="B734" s="11" t="s">
        <v>70</v>
      </c>
      <c r="D734" s="4" t="s">
        <v>335</v>
      </c>
      <c r="E734" s="5">
        <v>2500</v>
      </c>
    </row>
    <row r="735" spans="1:5" x14ac:dyDescent="0.25">
      <c r="A735" s="6" t="s">
        <v>515</v>
      </c>
      <c r="B735" s="6" t="s">
        <v>46</v>
      </c>
      <c r="D735" s="4" t="s">
        <v>47</v>
      </c>
      <c r="E735" s="5">
        <v>1000</v>
      </c>
    </row>
    <row r="736" spans="1:5" x14ac:dyDescent="0.25">
      <c r="A736" s="6" t="s">
        <v>515</v>
      </c>
      <c r="B736" s="11" t="s">
        <v>72</v>
      </c>
      <c r="D736" s="4" t="s">
        <v>111</v>
      </c>
      <c r="E736" s="5">
        <v>0</v>
      </c>
    </row>
    <row r="737" spans="1:6" x14ac:dyDescent="0.25">
      <c r="A737" s="6" t="s">
        <v>515</v>
      </c>
      <c r="B737" s="11" t="s">
        <v>78</v>
      </c>
      <c r="D737" s="4" t="s">
        <v>113</v>
      </c>
      <c r="E737" s="5">
        <v>19000</v>
      </c>
      <c r="F737" s="4" t="s">
        <v>517</v>
      </c>
    </row>
    <row r="738" spans="1:6" x14ac:dyDescent="0.25">
      <c r="A738" s="6" t="s">
        <v>515</v>
      </c>
      <c r="B738" s="11" t="s">
        <v>80</v>
      </c>
      <c r="D738" s="4" t="s">
        <v>81</v>
      </c>
      <c r="E738" s="5">
        <v>0</v>
      </c>
    </row>
    <row r="739" spans="1:6" x14ac:dyDescent="0.25">
      <c r="A739" s="6" t="s">
        <v>515</v>
      </c>
      <c r="B739" s="11" t="s">
        <v>298</v>
      </c>
      <c r="D739" s="4" t="s">
        <v>299</v>
      </c>
      <c r="E739" s="5">
        <v>0</v>
      </c>
    </row>
    <row r="741" spans="1:6" x14ac:dyDescent="0.25">
      <c r="A741" s="6" t="s">
        <v>518</v>
      </c>
      <c r="B741" s="6" t="s">
        <v>4</v>
      </c>
      <c r="C741" s="6" t="s">
        <v>4</v>
      </c>
      <c r="D741" s="4" t="s">
        <v>4</v>
      </c>
      <c r="E741" s="5">
        <f>SUM(E724:E739)</f>
        <v>290274.72750000004</v>
      </c>
    </row>
    <row r="743" spans="1:6" x14ac:dyDescent="0.25">
      <c r="A743" s="6" t="s">
        <v>519</v>
      </c>
    </row>
    <row r="744" spans="1:6" x14ac:dyDescent="0.25">
      <c r="A744" s="6" t="s">
        <v>12</v>
      </c>
    </row>
    <row r="745" spans="1:6" x14ac:dyDescent="0.25">
      <c r="A745" s="6" t="s">
        <v>520</v>
      </c>
      <c r="B745" s="6" t="s">
        <v>14</v>
      </c>
      <c r="D745" s="4" t="s">
        <v>15</v>
      </c>
      <c r="E745" s="5">
        <v>149595</v>
      </c>
    </row>
    <row r="746" spans="1:6" x14ac:dyDescent="0.25">
      <c r="A746" s="6" t="s">
        <v>520</v>
      </c>
      <c r="B746" s="11" t="s">
        <v>36</v>
      </c>
      <c r="D746" s="4" t="s">
        <v>157</v>
      </c>
      <c r="E746" s="5">
        <v>0</v>
      </c>
    </row>
    <row r="747" spans="1:6" x14ac:dyDescent="0.25">
      <c r="A747" s="6" t="s">
        <v>520</v>
      </c>
      <c r="B747" s="6" t="s">
        <v>17</v>
      </c>
      <c r="D747" s="4" t="s">
        <v>18</v>
      </c>
      <c r="E747" s="5">
        <f>SUM(E745:E746)*B3801</f>
        <v>9274.89</v>
      </c>
    </row>
    <row r="748" spans="1:6" x14ac:dyDescent="0.25">
      <c r="A748" s="6" t="s">
        <v>520</v>
      </c>
      <c r="B748" s="6" t="s">
        <v>19</v>
      </c>
      <c r="D748" s="4" t="s">
        <v>20</v>
      </c>
      <c r="E748" s="5">
        <f>SUM(E745:E746)*B3802</f>
        <v>2169.1275000000001</v>
      </c>
    </row>
    <row r="749" spans="1:6" x14ac:dyDescent="0.25">
      <c r="A749" s="6" t="s">
        <v>520</v>
      </c>
      <c r="B749" s="6" t="s">
        <v>21</v>
      </c>
      <c r="D749" s="4" t="s">
        <v>22</v>
      </c>
      <c r="E749" s="5">
        <f>SUM(E745:E746)*B3803</f>
        <v>34915.472999999998</v>
      </c>
    </row>
    <row r="750" spans="1:6" x14ac:dyDescent="0.25">
      <c r="A750" s="6" t="s">
        <v>520</v>
      </c>
      <c r="B750" s="11" t="s">
        <v>61</v>
      </c>
      <c r="D750" s="4" t="s">
        <v>188</v>
      </c>
      <c r="E750" s="5">
        <v>600</v>
      </c>
    </row>
    <row r="751" spans="1:6" x14ac:dyDescent="0.25">
      <c r="A751" s="6" t="s">
        <v>520</v>
      </c>
      <c r="B751" s="11" t="s">
        <v>44</v>
      </c>
      <c r="D751" s="4" t="s">
        <v>45</v>
      </c>
      <c r="E751" s="5">
        <v>500</v>
      </c>
    </row>
    <row r="752" spans="1:6" x14ac:dyDescent="0.25">
      <c r="A752" s="6" t="s">
        <v>520</v>
      </c>
      <c r="B752" s="11" t="s">
        <v>136</v>
      </c>
      <c r="D752" s="4" t="s">
        <v>521</v>
      </c>
      <c r="E752" s="5">
        <v>0</v>
      </c>
    </row>
    <row r="753" spans="1:6" x14ac:dyDescent="0.25">
      <c r="A753" s="6" t="s">
        <v>520</v>
      </c>
      <c r="B753" s="11" t="s">
        <v>171</v>
      </c>
      <c r="D753" s="4" t="s">
        <v>522</v>
      </c>
      <c r="E753" s="5">
        <v>0</v>
      </c>
    </row>
    <row r="754" spans="1:6" x14ac:dyDescent="0.25">
      <c r="A754" s="6" t="s">
        <v>520</v>
      </c>
      <c r="B754" s="6" t="s">
        <v>88</v>
      </c>
      <c r="D754" s="4" t="s">
        <v>523</v>
      </c>
      <c r="E754" s="5">
        <v>15000</v>
      </c>
      <c r="F754" s="4" t="s">
        <v>524</v>
      </c>
    </row>
    <row r="755" spans="1:6" x14ac:dyDescent="0.25">
      <c r="A755" s="6" t="s">
        <v>520</v>
      </c>
      <c r="B755" s="11" t="s">
        <v>70</v>
      </c>
      <c r="D755" s="4" t="s">
        <v>525</v>
      </c>
      <c r="E755" s="5">
        <v>750</v>
      </c>
    </row>
    <row r="756" spans="1:6" x14ac:dyDescent="0.25">
      <c r="A756" s="6" t="s">
        <v>520</v>
      </c>
      <c r="B756" s="6" t="s">
        <v>46</v>
      </c>
      <c r="D756" s="4" t="s">
        <v>47</v>
      </c>
      <c r="E756" s="5">
        <v>750</v>
      </c>
    </row>
    <row r="757" spans="1:6" x14ac:dyDescent="0.25">
      <c r="A757" s="6" t="s">
        <v>520</v>
      </c>
      <c r="B757" s="11" t="s">
        <v>72</v>
      </c>
      <c r="D757" s="4" t="s">
        <v>526</v>
      </c>
      <c r="E757" s="5">
        <v>0</v>
      </c>
    </row>
    <row r="758" spans="1:6" x14ac:dyDescent="0.25">
      <c r="A758" s="6" t="s">
        <v>520</v>
      </c>
      <c r="B758" s="11" t="s">
        <v>78</v>
      </c>
      <c r="D758" s="4" t="s">
        <v>113</v>
      </c>
      <c r="E758" s="5">
        <v>1500</v>
      </c>
      <c r="F758" s="13"/>
    </row>
    <row r="760" spans="1:6" x14ac:dyDescent="0.25">
      <c r="A760" s="6" t="s">
        <v>527</v>
      </c>
      <c r="B760" s="6" t="s">
        <v>4</v>
      </c>
      <c r="C760" s="6" t="s">
        <v>4</v>
      </c>
      <c r="D760" s="4" t="s">
        <v>4</v>
      </c>
      <c r="E760" s="5">
        <f>SUM(E745:E758)</f>
        <v>215054.49050000001</v>
      </c>
    </row>
    <row r="762" spans="1:6" x14ac:dyDescent="0.25">
      <c r="A762" s="6" t="s">
        <v>528</v>
      </c>
    </row>
    <row r="763" spans="1:6" x14ac:dyDescent="0.25">
      <c r="A763" s="6" t="s">
        <v>12</v>
      </c>
    </row>
    <row r="764" spans="1:6" x14ac:dyDescent="0.25">
      <c r="A764" s="6" t="s">
        <v>529</v>
      </c>
      <c r="B764" s="6" t="s">
        <v>14</v>
      </c>
      <c r="D764" s="4" t="s">
        <v>15</v>
      </c>
    </row>
    <row r="765" spans="1:6" x14ac:dyDescent="0.25">
      <c r="A765" s="6" t="s">
        <v>529</v>
      </c>
      <c r="B765" s="6" t="s">
        <v>17</v>
      </c>
      <c r="D765" s="4" t="s">
        <v>18</v>
      </c>
      <c r="E765" s="5">
        <f>E764*B3801</f>
        <v>0</v>
      </c>
    </row>
    <row r="766" spans="1:6" x14ac:dyDescent="0.25">
      <c r="A766" s="6" t="s">
        <v>529</v>
      </c>
      <c r="B766" s="6" t="s">
        <v>19</v>
      </c>
      <c r="D766" s="4" t="s">
        <v>20</v>
      </c>
      <c r="E766" s="5">
        <f>E764*B3802</f>
        <v>0</v>
      </c>
    </row>
    <row r="767" spans="1:6" x14ac:dyDescent="0.25">
      <c r="A767" s="6" t="s">
        <v>529</v>
      </c>
      <c r="B767" s="6" t="s">
        <v>21</v>
      </c>
      <c r="D767" s="4" t="s">
        <v>22</v>
      </c>
      <c r="E767" s="5">
        <f>E764*B3803</f>
        <v>0</v>
      </c>
    </row>
    <row r="768" spans="1:6" x14ac:dyDescent="0.25">
      <c r="A768" s="6" t="s">
        <v>529</v>
      </c>
      <c r="B768" s="6" t="s">
        <v>61</v>
      </c>
      <c r="D768" s="4" t="s">
        <v>188</v>
      </c>
      <c r="E768" s="5">
        <v>500</v>
      </c>
    </row>
    <row r="769" spans="1:6" x14ac:dyDescent="0.25">
      <c r="A769" s="6" t="s">
        <v>529</v>
      </c>
      <c r="B769" s="11" t="s">
        <v>88</v>
      </c>
      <c r="D769" s="4" t="s">
        <v>523</v>
      </c>
      <c r="E769" s="5">
        <v>100</v>
      </c>
    </row>
    <row r="770" spans="1:6" x14ac:dyDescent="0.25">
      <c r="A770" s="6" t="s">
        <v>529</v>
      </c>
      <c r="B770" s="6" t="s">
        <v>468</v>
      </c>
      <c r="D770" s="4" t="s">
        <v>530</v>
      </c>
      <c r="E770" s="5">
        <v>1500</v>
      </c>
    </row>
    <row r="771" spans="1:6" x14ac:dyDescent="0.25">
      <c r="A771" s="6" t="s">
        <v>529</v>
      </c>
      <c r="B771" s="6" t="s">
        <v>70</v>
      </c>
      <c r="D771" s="4" t="s">
        <v>531</v>
      </c>
      <c r="E771" s="5">
        <v>900</v>
      </c>
    </row>
    <row r="772" spans="1:6" x14ac:dyDescent="0.25">
      <c r="A772" s="6" t="s">
        <v>529</v>
      </c>
      <c r="B772" s="6" t="s">
        <v>46</v>
      </c>
      <c r="D772" s="4" t="s">
        <v>47</v>
      </c>
      <c r="E772" s="5">
        <v>300</v>
      </c>
    </row>
    <row r="773" spans="1:6" x14ac:dyDescent="0.25">
      <c r="A773" s="6" t="s">
        <v>529</v>
      </c>
      <c r="B773" s="11" t="s">
        <v>78</v>
      </c>
      <c r="D773" s="4" t="s">
        <v>230</v>
      </c>
      <c r="E773" s="5">
        <v>1000</v>
      </c>
    </row>
    <row r="774" spans="1:6" x14ac:dyDescent="0.25">
      <c r="A774" s="6" t="s">
        <v>529</v>
      </c>
      <c r="B774" s="11" t="s">
        <v>80</v>
      </c>
      <c r="D774" s="4" t="s">
        <v>81</v>
      </c>
      <c r="E774" s="5">
        <v>6300</v>
      </c>
      <c r="F774" s="4" t="s">
        <v>532</v>
      </c>
    </row>
    <row r="775" spans="1:6" x14ac:dyDescent="0.25">
      <c r="A775" s="6" t="s">
        <v>529</v>
      </c>
      <c r="B775" s="11" t="s">
        <v>298</v>
      </c>
      <c r="D775" s="4" t="s">
        <v>533</v>
      </c>
      <c r="E775" s="5">
        <v>300</v>
      </c>
    </row>
    <row r="777" spans="1:6" x14ac:dyDescent="0.25">
      <c r="A777" s="6" t="s">
        <v>534</v>
      </c>
      <c r="B777" s="6" t="s">
        <v>4</v>
      </c>
      <c r="C777" s="6" t="s">
        <v>4</v>
      </c>
      <c r="D777" s="4" t="s">
        <v>4</v>
      </c>
      <c r="E777" s="5">
        <f>SUM(E764:E775)</f>
        <v>10900</v>
      </c>
    </row>
    <row r="779" spans="1:6" x14ac:dyDescent="0.25">
      <c r="A779" s="6" t="s">
        <v>535</v>
      </c>
    </row>
    <row r="780" spans="1:6" x14ac:dyDescent="0.25">
      <c r="A780" s="6" t="s">
        <v>12</v>
      </c>
    </row>
    <row r="781" spans="1:6" x14ac:dyDescent="0.25">
      <c r="A781" s="6" t="s">
        <v>536</v>
      </c>
      <c r="B781" s="6" t="s">
        <v>14</v>
      </c>
      <c r="D781" s="4" t="s">
        <v>15</v>
      </c>
      <c r="E781" s="5">
        <v>39314</v>
      </c>
    </row>
    <row r="782" spans="1:6" x14ac:dyDescent="0.25">
      <c r="A782" s="6" t="s">
        <v>536</v>
      </c>
      <c r="B782" s="11" t="s">
        <v>25</v>
      </c>
      <c r="D782" s="4" t="s">
        <v>58</v>
      </c>
      <c r="E782" s="5">
        <v>300</v>
      </c>
    </row>
    <row r="783" spans="1:6" x14ac:dyDescent="0.25">
      <c r="A783" s="6" t="s">
        <v>536</v>
      </c>
      <c r="B783" s="6" t="s">
        <v>36</v>
      </c>
      <c r="D783" s="4" t="s">
        <v>157</v>
      </c>
      <c r="E783" s="5">
        <v>1200</v>
      </c>
    </row>
    <row r="784" spans="1:6" x14ac:dyDescent="0.25">
      <c r="A784" s="6" t="s">
        <v>536</v>
      </c>
      <c r="B784" s="6" t="s">
        <v>17</v>
      </c>
      <c r="D784" s="4" t="s">
        <v>18</v>
      </c>
      <c r="E784" s="5">
        <f>SUM(E781:E783)*B3801</f>
        <v>2530.4679999999998</v>
      </c>
    </row>
    <row r="785" spans="1:6" x14ac:dyDescent="0.25">
      <c r="A785" s="6" t="s">
        <v>536</v>
      </c>
      <c r="B785" s="6" t="s">
        <v>19</v>
      </c>
      <c r="D785" s="4" t="s">
        <v>20</v>
      </c>
      <c r="E785" s="5">
        <f>SUM(E781:E783)*B3802</f>
        <v>591.803</v>
      </c>
    </row>
    <row r="786" spans="1:6" x14ac:dyDescent="0.25">
      <c r="A786" s="6" t="s">
        <v>536</v>
      </c>
      <c r="B786" s="6" t="s">
        <v>21</v>
      </c>
      <c r="D786" s="4" t="s">
        <v>22</v>
      </c>
      <c r="E786" s="5">
        <f>SUM(E781:E783)*B3803</f>
        <v>9525.9876000000004</v>
      </c>
    </row>
    <row r="787" spans="1:6" x14ac:dyDescent="0.25">
      <c r="A787" s="6" t="s">
        <v>536</v>
      </c>
      <c r="B787" s="11" t="s">
        <v>159</v>
      </c>
      <c r="D787" s="4" t="s">
        <v>371</v>
      </c>
      <c r="E787" s="5">
        <v>0</v>
      </c>
    </row>
    <row r="788" spans="1:6" x14ac:dyDescent="0.25">
      <c r="A788" s="6" t="s">
        <v>536</v>
      </c>
      <c r="B788" s="11" t="s">
        <v>44</v>
      </c>
      <c r="D788" s="4" t="s">
        <v>45</v>
      </c>
      <c r="E788" s="5">
        <v>5000</v>
      </c>
    </row>
    <row r="789" spans="1:6" x14ac:dyDescent="0.25">
      <c r="A789" s="6" t="s">
        <v>536</v>
      </c>
      <c r="B789" s="6" t="s">
        <v>161</v>
      </c>
      <c r="D789" s="4" t="s">
        <v>162</v>
      </c>
      <c r="E789" s="5">
        <v>3300</v>
      </c>
    </row>
    <row r="790" spans="1:6" x14ac:dyDescent="0.25">
      <c r="A790" s="6" t="s">
        <v>536</v>
      </c>
      <c r="B790" s="6" t="s">
        <v>167</v>
      </c>
      <c r="D790" s="4" t="s">
        <v>537</v>
      </c>
      <c r="E790" s="5">
        <f>2500-1200</f>
        <v>1300</v>
      </c>
    </row>
    <row r="791" spans="1:6" x14ac:dyDescent="0.25">
      <c r="A791" s="6" t="s">
        <v>536</v>
      </c>
      <c r="B791" s="11" t="s">
        <v>169</v>
      </c>
      <c r="D791" s="4" t="s">
        <v>170</v>
      </c>
      <c r="E791" s="5">
        <v>500</v>
      </c>
    </row>
    <row r="792" spans="1:6" x14ac:dyDescent="0.25">
      <c r="A792" s="6" t="s">
        <v>536</v>
      </c>
      <c r="B792" s="6" t="s">
        <v>171</v>
      </c>
      <c r="D792" s="4" t="s">
        <v>516</v>
      </c>
      <c r="E792" s="5">
        <v>5000</v>
      </c>
    </row>
    <row r="793" spans="1:6" x14ac:dyDescent="0.25">
      <c r="A793" s="6" t="s">
        <v>536</v>
      </c>
      <c r="B793" s="11" t="s">
        <v>173</v>
      </c>
      <c r="D793" s="4" t="s">
        <v>538</v>
      </c>
      <c r="E793" s="5">
        <v>5000</v>
      </c>
    </row>
    <row r="794" spans="1:6" x14ac:dyDescent="0.25">
      <c r="A794" s="6" t="s">
        <v>536</v>
      </c>
      <c r="B794" s="6" t="s">
        <v>539</v>
      </c>
      <c r="D794" s="4" t="s">
        <v>540</v>
      </c>
      <c r="E794" s="5">
        <v>11520</v>
      </c>
      <c r="F794" s="4" t="s">
        <v>541</v>
      </c>
    </row>
    <row r="795" spans="1:6" x14ac:dyDescent="0.25">
      <c r="A795" s="6" t="s">
        <v>536</v>
      </c>
      <c r="B795" s="6" t="s">
        <v>542</v>
      </c>
      <c r="D795" s="4" t="s">
        <v>543</v>
      </c>
      <c r="E795" s="5">
        <v>100</v>
      </c>
      <c r="F795" s="23"/>
    </row>
    <row r="796" spans="1:6" x14ac:dyDescent="0.25">
      <c r="A796" s="6" t="s">
        <v>536</v>
      </c>
      <c r="B796" s="11" t="s">
        <v>70</v>
      </c>
      <c r="D796" s="4" t="s">
        <v>335</v>
      </c>
      <c r="E796" s="5">
        <v>800</v>
      </c>
      <c r="F796" s="23"/>
    </row>
    <row r="797" spans="1:6" x14ac:dyDescent="0.25">
      <c r="A797" s="6" t="s">
        <v>536</v>
      </c>
      <c r="B797" s="6" t="s">
        <v>46</v>
      </c>
      <c r="D797" s="4" t="s">
        <v>47</v>
      </c>
      <c r="E797" s="5">
        <v>11000</v>
      </c>
    </row>
    <row r="798" spans="1:6" x14ac:dyDescent="0.25">
      <c r="A798" s="6" t="s">
        <v>536</v>
      </c>
      <c r="B798" s="6" t="s">
        <v>177</v>
      </c>
      <c r="D798" s="4" t="s">
        <v>178</v>
      </c>
      <c r="E798" s="5">
        <f>8500-600</f>
        <v>7900</v>
      </c>
    </row>
    <row r="799" spans="1:6" x14ac:dyDescent="0.25">
      <c r="A799" s="6" t="s">
        <v>536</v>
      </c>
      <c r="B799" s="6" t="s">
        <v>179</v>
      </c>
      <c r="D799" s="4" t="s">
        <v>180</v>
      </c>
      <c r="E799" s="5">
        <f>20500+1800</f>
        <v>22300</v>
      </c>
    </row>
    <row r="800" spans="1:6" x14ac:dyDescent="0.25">
      <c r="A800" s="6" t="s">
        <v>536</v>
      </c>
      <c r="B800" s="11" t="s">
        <v>544</v>
      </c>
      <c r="D800" s="4" t="s">
        <v>545</v>
      </c>
      <c r="E800" s="5">
        <v>850</v>
      </c>
    </row>
    <row r="801" spans="1:5" x14ac:dyDescent="0.25">
      <c r="A801" s="6" t="s">
        <v>536</v>
      </c>
      <c r="B801" s="11" t="s">
        <v>112</v>
      </c>
      <c r="D801" s="4" t="s">
        <v>297</v>
      </c>
      <c r="E801" s="5">
        <v>0</v>
      </c>
    </row>
    <row r="802" spans="1:5" x14ac:dyDescent="0.25">
      <c r="A802" s="6" t="s">
        <v>536</v>
      </c>
      <c r="B802" s="11" t="s">
        <v>131</v>
      </c>
      <c r="D802" s="4" t="s">
        <v>132</v>
      </c>
      <c r="E802" s="5">
        <f>2500-1000</f>
        <v>1500</v>
      </c>
    </row>
    <row r="803" spans="1:5" x14ac:dyDescent="0.25">
      <c r="A803" s="6" t="s">
        <v>536</v>
      </c>
      <c r="B803" s="6" t="s">
        <v>192</v>
      </c>
      <c r="D803" s="4" t="s">
        <v>546</v>
      </c>
      <c r="E803" s="5">
        <v>300</v>
      </c>
    </row>
    <row r="805" spans="1:5" x14ac:dyDescent="0.25">
      <c r="A805" s="6" t="s">
        <v>547</v>
      </c>
      <c r="B805" s="6" t="s">
        <v>4</v>
      </c>
      <c r="C805" s="6" t="s">
        <v>4</v>
      </c>
      <c r="D805" s="4" t="s">
        <v>4</v>
      </c>
      <c r="E805" s="5">
        <f>SUM(E781:E803)</f>
        <v>129832.2586</v>
      </c>
    </row>
    <row r="807" spans="1:5" x14ac:dyDescent="0.25">
      <c r="A807" s="6" t="s">
        <v>548</v>
      </c>
    </row>
    <row r="808" spans="1:5" x14ac:dyDescent="0.25">
      <c r="A808" s="6" t="s">
        <v>12</v>
      </c>
    </row>
    <row r="809" spans="1:5" x14ac:dyDescent="0.25">
      <c r="A809" s="6" t="s">
        <v>549</v>
      </c>
      <c r="B809" s="6" t="s">
        <v>165</v>
      </c>
      <c r="D809" s="4" t="s">
        <v>550</v>
      </c>
      <c r="E809" s="5">
        <v>3000</v>
      </c>
    </row>
    <row r="811" spans="1:5" x14ac:dyDescent="0.25">
      <c r="A811" s="6" t="s">
        <v>551</v>
      </c>
      <c r="B811" s="6" t="s">
        <v>4</v>
      </c>
      <c r="C811" s="6" t="s">
        <v>4</v>
      </c>
      <c r="D811" s="4" t="s">
        <v>4</v>
      </c>
      <c r="E811" s="5">
        <f>E809</f>
        <v>3000</v>
      </c>
    </row>
    <row r="813" spans="1:5" x14ac:dyDescent="0.25">
      <c r="A813" s="6" t="s">
        <v>552</v>
      </c>
    </row>
    <row r="814" spans="1:5" x14ac:dyDescent="0.25">
      <c r="A814" s="6" t="s">
        <v>12</v>
      </c>
    </row>
    <row r="815" spans="1:5" x14ac:dyDescent="0.25">
      <c r="A815" s="6" t="s">
        <v>553</v>
      </c>
      <c r="B815" s="6" t="s">
        <v>159</v>
      </c>
      <c r="D815" s="4" t="s">
        <v>160</v>
      </c>
      <c r="E815" s="5">
        <f>1300+200+1300</f>
        <v>2800</v>
      </c>
    </row>
    <row r="817" spans="1:6" x14ac:dyDescent="0.25">
      <c r="A817" s="6" t="s">
        <v>554</v>
      </c>
      <c r="B817" s="6" t="s">
        <v>4</v>
      </c>
      <c r="C817" s="6" t="s">
        <v>4</v>
      </c>
      <c r="D817" s="4" t="s">
        <v>4</v>
      </c>
      <c r="E817" s="5">
        <f>E815</f>
        <v>2800</v>
      </c>
    </row>
    <row r="819" spans="1:6" hidden="1" x14ac:dyDescent="0.25">
      <c r="A819" s="6" t="s">
        <v>555</v>
      </c>
    </row>
    <row r="820" spans="1:6" hidden="1" x14ac:dyDescent="0.25">
      <c r="A820" s="6" t="s">
        <v>12</v>
      </c>
    </row>
    <row r="821" spans="1:6" hidden="1" x14ac:dyDescent="0.25">
      <c r="A821" s="6" t="s">
        <v>556</v>
      </c>
      <c r="B821" s="6" t="s">
        <v>14</v>
      </c>
      <c r="D821" s="4" t="s">
        <v>15</v>
      </c>
      <c r="E821" s="5">
        <v>0</v>
      </c>
      <c r="F821" s="4" t="s">
        <v>557</v>
      </c>
    </row>
    <row r="822" spans="1:6" hidden="1" x14ac:dyDescent="0.25">
      <c r="A822" s="6" t="s">
        <v>556</v>
      </c>
      <c r="B822" s="6" t="s">
        <v>17</v>
      </c>
      <c r="D822" s="4" t="s">
        <v>18</v>
      </c>
      <c r="E822" s="5">
        <f>E821*B3801</f>
        <v>0</v>
      </c>
      <c r="F822" s="4" t="s">
        <v>558</v>
      </c>
    </row>
    <row r="823" spans="1:6" hidden="1" x14ac:dyDescent="0.25">
      <c r="A823" s="6" t="s">
        <v>556</v>
      </c>
      <c r="B823" s="6" t="s">
        <v>19</v>
      </c>
      <c r="D823" s="4" t="s">
        <v>20</v>
      </c>
      <c r="E823" s="5">
        <f>E821*B3802</f>
        <v>0</v>
      </c>
      <c r="F823" s="4" t="s">
        <v>559</v>
      </c>
    </row>
    <row r="824" spans="1:6" hidden="1" x14ac:dyDescent="0.25">
      <c r="A824" s="6" t="s">
        <v>556</v>
      </c>
      <c r="B824" s="6" t="s">
        <v>21</v>
      </c>
      <c r="D824" s="4" t="s">
        <v>22</v>
      </c>
      <c r="E824" s="5">
        <f>E821*B3803</f>
        <v>0</v>
      </c>
      <c r="F824" s="4" t="s">
        <v>4</v>
      </c>
    </row>
    <row r="825" spans="1:6" hidden="1" x14ac:dyDescent="0.25">
      <c r="A825" s="6" t="s">
        <v>556</v>
      </c>
      <c r="B825" s="6" t="s">
        <v>61</v>
      </c>
      <c r="D825" s="4" t="s">
        <v>188</v>
      </c>
      <c r="E825" s="5">
        <v>0</v>
      </c>
      <c r="F825" s="4" t="s">
        <v>4</v>
      </c>
    </row>
    <row r="826" spans="1:6" hidden="1" x14ac:dyDescent="0.25">
      <c r="A826" s="6" t="s">
        <v>556</v>
      </c>
      <c r="B826" s="11" t="s">
        <v>44</v>
      </c>
      <c r="D826" s="4" t="s">
        <v>45</v>
      </c>
      <c r="E826" s="5">
        <v>0</v>
      </c>
    </row>
    <row r="827" spans="1:6" hidden="1" x14ac:dyDescent="0.25">
      <c r="A827" s="6" t="s">
        <v>556</v>
      </c>
      <c r="B827" s="6" t="s">
        <v>136</v>
      </c>
      <c r="D827" s="4" t="s">
        <v>137</v>
      </c>
      <c r="E827" s="5">
        <v>0</v>
      </c>
      <c r="F827" s="4" t="s">
        <v>4</v>
      </c>
    </row>
    <row r="828" spans="1:6" hidden="1" x14ac:dyDescent="0.25">
      <c r="A828" s="6" t="s">
        <v>556</v>
      </c>
      <c r="B828" s="11" t="s">
        <v>385</v>
      </c>
      <c r="D828" s="4" t="s">
        <v>560</v>
      </c>
      <c r="E828" s="5">
        <v>0</v>
      </c>
      <c r="F828" s="4" t="s">
        <v>4</v>
      </c>
    </row>
    <row r="829" spans="1:6" hidden="1" x14ac:dyDescent="0.25">
      <c r="A829" s="6" t="s">
        <v>556</v>
      </c>
      <c r="B829" s="6" t="s">
        <v>66</v>
      </c>
      <c r="D829" s="4" t="s">
        <v>67</v>
      </c>
      <c r="E829" s="5">
        <v>0</v>
      </c>
      <c r="F829" s="4" t="s">
        <v>4</v>
      </c>
    </row>
    <row r="830" spans="1:6" hidden="1" x14ac:dyDescent="0.25">
      <c r="A830" s="6" t="s">
        <v>556</v>
      </c>
      <c r="B830" s="11" t="s">
        <v>68</v>
      </c>
      <c r="D830" s="4" t="s">
        <v>69</v>
      </c>
      <c r="E830" s="5">
        <v>0</v>
      </c>
    </row>
    <row r="831" spans="1:6" hidden="1" x14ac:dyDescent="0.25">
      <c r="A831" s="6" t="s">
        <v>556</v>
      </c>
      <c r="B831" s="11" t="s">
        <v>326</v>
      </c>
      <c r="D831" s="4" t="s">
        <v>561</v>
      </c>
      <c r="E831" s="5">
        <v>0</v>
      </c>
    </row>
    <row r="832" spans="1:6" hidden="1" x14ac:dyDescent="0.25">
      <c r="A832" s="6" t="s">
        <v>556</v>
      </c>
      <c r="B832" s="6" t="s">
        <v>328</v>
      </c>
      <c r="D832" s="4" t="s">
        <v>562</v>
      </c>
      <c r="E832" s="5">
        <v>0</v>
      </c>
      <c r="F832" s="4" t="s">
        <v>4</v>
      </c>
    </row>
    <row r="833" spans="1:6" hidden="1" x14ac:dyDescent="0.25">
      <c r="A833" s="6" t="s">
        <v>556</v>
      </c>
      <c r="B833" s="6" t="s">
        <v>46</v>
      </c>
      <c r="D833" s="4" t="s">
        <v>47</v>
      </c>
      <c r="E833" s="5">
        <v>0</v>
      </c>
      <c r="F833" s="4" t="s">
        <v>4</v>
      </c>
    </row>
    <row r="834" spans="1:6" hidden="1" x14ac:dyDescent="0.25">
      <c r="A834" s="6" t="s">
        <v>556</v>
      </c>
      <c r="B834" s="11" t="s">
        <v>72</v>
      </c>
      <c r="D834" s="4" t="s">
        <v>111</v>
      </c>
      <c r="E834" s="5">
        <v>0</v>
      </c>
    </row>
    <row r="835" spans="1:6" hidden="1" x14ac:dyDescent="0.25">
      <c r="A835" s="6" t="s">
        <v>556</v>
      </c>
      <c r="B835" s="11" t="s">
        <v>112</v>
      </c>
      <c r="D835" s="4" t="s">
        <v>297</v>
      </c>
      <c r="E835" s="5">
        <v>0</v>
      </c>
    </row>
    <row r="836" spans="1:6" hidden="1" x14ac:dyDescent="0.25">
      <c r="A836" s="6" t="s">
        <v>556</v>
      </c>
      <c r="B836" s="11" t="s">
        <v>78</v>
      </c>
      <c r="D836" s="4" t="s">
        <v>130</v>
      </c>
      <c r="E836" s="5">
        <v>0</v>
      </c>
    </row>
    <row r="837" spans="1:6" hidden="1" x14ac:dyDescent="0.25">
      <c r="A837" s="6" t="s">
        <v>556</v>
      </c>
      <c r="B837" s="11" t="s">
        <v>298</v>
      </c>
      <c r="D837" s="4" t="s">
        <v>533</v>
      </c>
      <c r="E837" s="5">
        <v>0</v>
      </c>
    </row>
    <row r="838" spans="1:6" hidden="1" x14ac:dyDescent="0.25"/>
    <row r="839" spans="1:6" hidden="1" x14ac:dyDescent="0.25">
      <c r="A839" s="6" t="s">
        <v>563</v>
      </c>
      <c r="B839" s="6" t="s">
        <v>4</v>
      </c>
      <c r="C839" s="6" t="s">
        <v>4</v>
      </c>
      <c r="D839" s="4" t="s">
        <v>4</v>
      </c>
      <c r="E839" s="5">
        <f>SUM(E821:E837)</f>
        <v>0</v>
      </c>
    </row>
    <row r="840" spans="1:6" hidden="1" x14ac:dyDescent="0.25"/>
    <row r="841" spans="1:6" x14ac:dyDescent="0.25">
      <c r="A841" s="6" t="s">
        <v>564</v>
      </c>
    </row>
    <row r="842" spans="1:6" x14ac:dyDescent="0.25">
      <c r="A842" s="6" t="s">
        <v>12</v>
      </c>
    </row>
    <row r="843" spans="1:6" x14ac:dyDescent="0.25">
      <c r="A843" s="6" t="s">
        <v>565</v>
      </c>
      <c r="B843" s="6" t="s">
        <v>53</v>
      </c>
      <c r="D843" s="4" t="s">
        <v>54</v>
      </c>
      <c r="E843" s="5">
        <v>78622</v>
      </c>
    </row>
    <row r="844" spans="1:6" x14ac:dyDescent="0.25">
      <c r="A844" s="6" t="s">
        <v>565</v>
      </c>
      <c r="B844" s="6" t="s">
        <v>55</v>
      </c>
      <c r="D844" s="4" t="s">
        <v>56</v>
      </c>
      <c r="E844" s="5">
        <v>21250</v>
      </c>
    </row>
    <row r="845" spans="1:6" x14ac:dyDescent="0.25">
      <c r="A845" s="6" t="s">
        <v>565</v>
      </c>
      <c r="B845" s="6" t="s">
        <v>32</v>
      </c>
      <c r="D845" s="4" t="s">
        <v>33</v>
      </c>
      <c r="E845" s="5">
        <v>26660</v>
      </c>
    </row>
    <row r="846" spans="1:6" x14ac:dyDescent="0.25">
      <c r="A846" s="6" t="s">
        <v>565</v>
      </c>
      <c r="B846" s="6" t="s">
        <v>14</v>
      </c>
      <c r="D846" s="4" t="s">
        <v>15</v>
      </c>
      <c r="E846" s="5">
        <v>119787</v>
      </c>
    </row>
    <row r="847" spans="1:6" x14ac:dyDescent="0.25">
      <c r="A847" s="6" t="s">
        <v>565</v>
      </c>
      <c r="B847" s="6" t="s">
        <v>36</v>
      </c>
      <c r="D847" s="4" t="s">
        <v>157</v>
      </c>
      <c r="E847" s="5">
        <v>750</v>
      </c>
    </row>
    <row r="848" spans="1:6" x14ac:dyDescent="0.25">
      <c r="A848" s="6" t="s">
        <v>565</v>
      </c>
      <c r="B848" s="6" t="s">
        <v>17</v>
      </c>
      <c r="D848" s="4" t="s">
        <v>18</v>
      </c>
      <c r="E848" s="5">
        <f>SUM(E846:E847)*B3801</f>
        <v>7473.2939999999999</v>
      </c>
    </row>
    <row r="849" spans="1:7" x14ac:dyDescent="0.25">
      <c r="A849" s="6" t="s">
        <v>565</v>
      </c>
      <c r="B849" s="6" t="s">
        <v>19</v>
      </c>
      <c r="D849" s="4" t="s">
        <v>20</v>
      </c>
      <c r="E849" s="5">
        <f>SUM(E843:E847)*B3802</f>
        <v>3582.5005000000001</v>
      </c>
    </row>
    <row r="850" spans="1:7" x14ac:dyDescent="0.25">
      <c r="A850" s="6" t="s">
        <v>565</v>
      </c>
      <c r="B850" s="11" t="s">
        <v>40</v>
      </c>
      <c r="D850" s="4" t="s">
        <v>60</v>
      </c>
      <c r="E850" s="5">
        <f>SUM(E843:E845)*B3799</f>
        <v>3795.96</v>
      </c>
    </row>
    <row r="851" spans="1:7" x14ac:dyDescent="0.25">
      <c r="A851" s="6" t="s">
        <v>565</v>
      </c>
      <c r="B851" s="6" t="s">
        <v>21</v>
      </c>
      <c r="D851" s="4" t="s">
        <v>22</v>
      </c>
      <c r="E851" s="5">
        <f>SUM(E846:E847)*B3803</f>
        <v>28133.335800000001</v>
      </c>
    </row>
    <row r="852" spans="1:7" x14ac:dyDescent="0.25">
      <c r="A852" s="6" t="s">
        <v>565</v>
      </c>
      <c r="B852" s="11" t="s">
        <v>197</v>
      </c>
      <c r="D852" s="4" t="s">
        <v>566</v>
      </c>
      <c r="E852" s="5">
        <v>500</v>
      </c>
    </row>
    <row r="853" spans="1:7" x14ac:dyDescent="0.25">
      <c r="A853" s="6" t="s">
        <v>565</v>
      </c>
      <c r="B853" s="6" t="s">
        <v>61</v>
      </c>
      <c r="D853" s="4" t="s">
        <v>188</v>
      </c>
      <c r="E853" s="5">
        <v>3000</v>
      </c>
      <c r="G853" s="24"/>
    </row>
    <row r="854" spans="1:7" x14ac:dyDescent="0.25">
      <c r="A854" s="6" t="s">
        <v>565</v>
      </c>
      <c r="B854" s="11" t="s">
        <v>107</v>
      </c>
      <c r="D854" s="4" t="s">
        <v>414</v>
      </c>
      <c r="E854" s="5">
        <v>35500</v>
      </c>
      <c r="G854" s="24"/>
    </row>
    <row r="855" spans="1:7" x14ac:dyDescent="0.25">
      <c r="A855" s="6" t="s">
        <v>565</v>
      </c>
      <c r="B855" s="11" t="s">
        <v>44</v>
      </c>
      <c r="D855" s="4" t="s">
        <v>45</v>
      </c>
      <c r="E855" s="5">
        <v>26500</v>
      </c>
    </row>
    <row r="856" spans="1:7" x14ac:dyDescent="0.25">
      <c r="A856" s="6" t="s">
        <v>565</v>
      </c>
      <c r="B856" s="11" t="s">
        <v>372</v>
      </c>
      <c r="D856" s="4" t="s">
        <v>567</v>
      </c>
      <c r="E856" s="5">
        <v>0</v>
      </c>
    </row>
    <row r="857" spans="1:7" x14ac:dyDescent="0.25">
      <c r="A857" s="6" t="s">
        <v>565</v>
      </c>
      <c r="B857" s="6" t="s">
        <v>136</v>
      </c>
      <c r="D857" s="4" t="s">
        <v>137</v>
      </c>
      <c r="E857" s="5">
        <v>0</v>
      </c>
    </row>
    <row r="858" spans="1:7" x14ac:dyDescent="0.25">
      <c r="A858" s="6" t="s">
        <v>565</v>
      </c>
      <c r="B858" s="11" t="s">
        <v>171</v>
      </c>
      <c r="D858" s="4" t="s">
        <v>568</v>
      </c>
      <c r="E858" s="5">
        <v>700</v>
      </c>
    </row>
    <row r="859" spans="1:7" x14ac:dyDescent="0.25">
      <c r="A859" s="6" t="s">
        <v>565</v>
      </c>
      <c r="B859" s="6" t="s">
        <v>66</v>
      </c>
      <c r="D859" s="4" t="s">
        <v>67</v>
      </c>
      <c r="E859" s="5">
        <v>1500</v>
      </c>
    </row>
    <row r="860" spans="1:7" x14ac:dyDescent="0.25">
      <c r="A860" s="6" t="s">
        <v>565</v>
      </c>
      <c r="B860" s="6" t="s">
        <v>468</v>
      </c>
      <c r="D860" s="4" t="s">
        <v>530</v>
      </c>
      <c r="E860" s="5">
        <v>2000</v>
      </c>
    </row>
    <row r="861" spans="1:7" x14ac:dyDescent="0.25">
      <c r="A861" s="6" t="s">
        <v>565</v>
      </c>
      <c r="B861" s="6" t="s">
        <v>68</v>
      </c>
      <c r="D861" s="4" t="s">
        <v>190</v>
      </c>
      <c r="E861" s="5">
        <v>200</v>
      </c>
    </row>
    <row r="862" spans="1:7" x14ac:dyDescent="0.25">
      <c r="A862" s="6" t="s">
        <v>565</v>
      </c>
      <c r="B862" s="11" t="s">
        <v>70</v>
      </c>
      <c r="D862" s="4" t="s">
        <v>569</v>
      </c>
      <c r="E862" s="5">
        <v>6000</v>
      </c>
    </row>
    <row r="863" spans="1:7" x14ac:dyDescent="0.25">
      <c r="A863" s="6" t="s">
        <v>565</v>
      </c>
      <c r="B863" s="6" t="s">
        <v>46</v>
      </c>
      <c r="D863" s="4" t="s">
        <v>47</v>
      </c>
      <c r="E863" s="5">
        <v>5000</v>
      </c>
    </row>
    <row r="864" spans="1:7" x14ac:dyDescent="0.25">
      <c r="A864" s="6" t="s">
        <v>565</v>
      </c>
      <c r="B864" s="11" t="s">
        <v>72</v>
      </c>
      <c r="D864" s="4" t="s">
        <v>526</v>
      </c>
      <c r="E864" s="5">
        <v>700</v>
      </c>
    </row>
    <row r="865" spans="1:6" x14ac:dyDescent="0.25">
      <c r="A865" s="6" t="s">
        <v>565</v>
      </c>
      <c r="B865" s="6" t="s">
        <v>78</v>
      </c>
      <c r="D865" s="4" t="s">
        <v>570</v>
      </c>
      <c r="E865" s="5">
        <v>2000</v>
      </c>
    </row>
    <row r="866" spans="1:6" x14ac:dyDescent="0.25">
      <c r="A866" s="6" t="s">
        <v>565</v>
      </c>
      <c r="B866" s="11" t="s">
        <v>80</v>
      </c>
      <c r="D866" s="4" t="s">
        <v>571</v>
      </c>
      <c r="E866" s="5">
        <v>72500</v>
      </c>
    </row>
    <row r="867" spans="1:6" x14ac:dyDescent="0.25">
      <c r="A867" s="6" t="s">
        <v>565</v>
      </c>
      <c r="B867" s="11" t="s">
        <v>298</v>
      </c>
      <c r="D867" s="4" t="s">
        <v>299</v>
      </c>
      <c r="E867" s="5">
        <v>1000</v>
      </c>
    </row>
    <row r="868" spans="1:6" x14ac:dyDescent="0.25">
      <c r="A868" s="6" t="s">
        <v>565</v>
      </c>
      <c r="B868" s="11" t="s">
        <v>479</v>
      </c>
      <c r="D868" s="4" t="s">
        <v>572</v>
      </c>
      <c r="E868" s="5">
        <v>0</v>
      </c>
    </row>
    <row r="870" spans="1:6" x14ac:dyDescent="0.25">
      <c r="A870" s="6" t="s">
        <v>573</v>
      </c>
      <c r="B870" s="6" t="s">
        <v>4</v>
      </c>
      <c r="C870" s="6" t="s">
        <v>4</v>
      </c>
      <c r="D870" s="4" t="s">
        <v>4</v>
      </c>
      <c r="E870" s="5">
        <f>SUM(E843:E868)</f>
        <v>447154.09029999998</v>
      </c>
    </row>
    <row r="872" spans="1:6" x14ac:dyDescent="0.25">
      <c r="A872" s="6" t="s">
        <v>574</v>
      </c>
    </row>
    <row r="873" spans="1:6" x14ac:dyDescent="0.25">
      <c r="A873" s="6" t="s">
        <v>12</v>
      </c>
    </row>
    <row r="874" spans="1:6" x14ac:dyDescent="0.25">
      <c r="A874" s="6" t="s">
        <v>575</v>
      </c>
      <c r="B874" s="6" t="s">
        <v>53</v>
      </c>
      <c r="D874" s="4" t="s">
        <v>54</v>
      </c>
      <c r="E874" s="5">
        <f>25000+60000</f>
        <v>85000</v>
      </c>
      <c r="F874" s="4" t="s">
        <v>576</v>
      </c>
    </row>
    <row r="875" spans="1:6" x14ac:dyDescent="0.25">
      <c r="A875" s="6" t="s">
        <v>575</v>
      </c>
      <c r="B875" s="6" t="s">
        <v>55</v>
      </c>
      <c r="D875" s="4" t="s">
        <v>56</v>
      </c>
      <c r="E875" s="5">
        <v>6052</v>
      </c>
    </row>
    <row r="876" spans="1:6" x14ac:dyDescent="0.25">
      <c r="A876" s="6" t="s">
        <v>575</v>
      </c>
      <c r="B876" s="6" t="s">
        <v>32</v>
      </c>
      <c r="D876" s="4" t="s">
        <v>33</v>
      </c>
      <c r="E876" s="5">
        <v>0</v>
      </c>
    </row>
    <row r="877" spans="1:6" x14ac:dyDescent="0.25">
      <c r="A877" s="6" t="s">
        <v>575</v>
      </c>
      <c r="B877" s="11" t="s">
        <v>34</v>
      </c>
      <c r="D877" s="4" t="s">
        <v>57</v>
      </c>
      <c r="E877" s="5">
        <f>5000+5000</f>
        <v>10000</v>
      </c>
      <c r="F877" s="4" t="s">
        <v>577</v>
      </c>
    </row>
    <row r="878" spans="1:6" x14ac:dyDescent="0.25">
      <c r="A878" s="6" t="s">
        <v>575</v>
      </c>
      <c r="B878" s="6" t="s">
        <v>14</v>
      </c>
      <c r="D878" s="4" t="s">
        <v>15</v>
      </c>
      <c r="E878" s="5">
        <v>411236</v>
      </c>
    </row>
    <row r="879" spans="1:6" x14ac:dyDescent="0.25">
      <c r="A879" s="6" t="s">
        <v>575</v>
      </c>
      <c r="B879" s="11" t="s">
        <v>25</v>
      </c>
      <c r="D879" s="4" t="s">
        <v>26</v>
      </c>
      <c r="E879" s="5">
        <v>11500</v>
      </c>
    </row>
    <row r="880" spans="1:6" x14ac:dyDescent="0.25">
      <c r="A880" s="6" t="s">
        <v>575</v>
      </c>
      <c r="B880" s="6" t="s">
        <v>36</v>
      </c>
      <c r="D880" s="4" t="s">
        <v>157</v>
      </c>
      <c r="E880" s="5">
        <f>1000+2000</f>
        <v>3000</v>
      </c>
    </row>
    <row r="881" spans="1:6" x14ac:dyDescent="0.25">
      <c r="A881" s="6" t="s">
        <v>575</v>
      </c>
      <c r="B881" s="6" t="s">
        <v>17</v>
      </c>
      <c r="D881" s="4" t="s">
        <v>18</v>
      </c>
      <c r="E881" s="5">
        <f>SUM(E878:E880)*B3801</f>
        <v>26395.632000000001</v>
      </c>
      <c r="F881" s="4" t="s">
        <v>4</v>
      </c>
    </row>
    <row r="882" spans="1:6" x14ac:dyDescent="0.25">
      <c r="A882" s="6" t="s">
        <v>575</v>
      </c>
      <c r="B882" s="6" t="s">
        <v>19</v>
      </c>
      <c r="D882" s="4" t="s">
        <v>20</v>
      </c>
      <c r="E882" s="5">
        <f>SUM(E874:E880)*B3802</f>
        <v>7638.4260000000004</v>
      </c>
    </row>
    <row r="883" spans="1:6" x14ac:dyDescent="0.25">
      <c r="A883" s="6" t="s">
        <v>575</v>
      </c>
      <c r="B883" s="6" t="s">
        <v>40</v>
      </c>
      <c r="D883" s="4" t="s">
        <v>60</v>
      </c>
      <c r="E883" s="5">
        <f>SUM(E874:E877)*B3799</f>
        <v>3031.56</v>
      </c>
    </row>
    <row r="884" spans="1:6" x14ac:dyDescent="0.25">
      <c r="A884" s="6" t="s">
        <v>575</v>
      </c>
      <c r="B884" s="6" t="s">
        <v>21</v>
      </c>
      <c r="D884" s="4" t="s">
        <v>22</v>
      </c>
      <c r="E884" s="5">
        <f>SUM(E878:E880)*B3803</f>
        <v>99366.782399999996</v>
      </c>
    </row>
    <row r="885" spans="1:6" x14ac:dyDescent="0.25">
      <c r="A885" s="6" t="s">
        <v>575</v>
      </c>
      <c r="B885" s="6" t="s">
        <v>61</v>
      </c>
      <c r="D885" s="4" t="s">
        <v>188</v>
      </c>
      <c r="E885" s="5">
        <v>3000</v>
      </c>
    </row>
    <row r="886" spans="1:6" x14ac:dyDescent="0.25">
      <c r="A886" s="6" t="s">
        <v>575</v>
      </c>
      <c r="B886" s="11" t="s">
        <v>44</v>
      </c>
      <c r="D886" s="4" t="s">
        <v>45</v>
      </c>
      <c r="E886" s="5">
        <v>35420</v>
      </c>
    </row>
    <row r="887" spans="1:6" x14ac:dyDescent="0.25">
      <c r="A887" s="6" t="s">
        <v>575</v>
      </c>
      <c r="B887" s="11" t="s">
        <v>372</v>
      </c>
      <c r="D887" s="4" t="s">
        <v>567</v>
      </c>
      <c r="E887" s="5">
        <v>0</v>
      </c>
    </row>
    <row r="888" spans="1:6" x14ac:dyDescent="0.25">
      <c r="A888" s="6" t="s">
        <v>575</v>
      </c>
      <c r="B888" s="6" t="s">
        <v>136</v>
      </c>
      <c r="D888" s="4" t="s">
        <v>137</v>
      </c>
      <c r="E888" s="5">
        <v>8000</v>
      </c>
    </row>
    <row r="889" spans="1:6" x14ac:dyDescent="0.25">
      <c r="A889" s="6" t="s">
        <v>575</v>
      </c>
      <c r="B889" s="11" t="s">
        <v>385</v>
      </c>
      <c r="D889" s="4" t="s">
        <v>578</v>
      </c>
      <c r="E889" s="5">
        <v>0</v>
      </c>
    </row>
    <row r="890" spans="1:6" x14ac:dyDescent="0.25">
      <c r="A890" s="6" t="s">
        <v>575</v>
      </c>
      <c r="B890" s="11" t="s">
        <v>88</v>
      </c>
      <c r="D890" s="4" t="s">
        <v>89</v>
      </c>
      <c r="E890" s="5">
        <v>0</v>
      </c>
    </row>
    <row r="891" spans="1:6" x14ac:dyDescent="0.25">
      <c r="A891" s="6" t="s">
        <v>575</v>
      </c>
      <c r="B891" s="11" t="s">
        <v>579</v>
      </c>
      <c r="D891" s="4" t="s">
        <v>580</v>
      </c>
      <c r="E891" s="5">
        <v>2500</v>
      </c>
    </row>
    <row r="892" spans="1:6" x14ac:dyDescent="0.25">
      <c r="A892" s="6" t="s">
        <v>575</v>
      </c>
      <c r="B892" s="11" t="s">
        <v>66</v>
      </c>
      <c r="D892" s="4" t="s">
        <v>121</v>
      </c>
      <c r="E892" s="5">
        <v>200000</v>
      </c>
      <c r="F892" s="4" t="s">
        <v>581</v>
      </c>
    </row>
    <row r="893" spans="1:6" x14ac:dyDescent="0.25">
      <c r="A893" s="6" t="s">
        <v>575</v>
      </c>
      <c r="B893" s="11" t="s">
        <v>468</v>
      </c>
      <c r="D893" s="4" t="s">
        <v>469</v>
      </c>
      <c r="E893" s="5">
        <v>300</v>
      </c>
    </row>
    <row r="894" spans="1:6" x14ac:dyDescent="0.25">
      <c r="A894" s="6" t="s">
        <v>575</v>
      </c>
      <c r="B894" s="11" t="s">
        <v>68</v>
      </c>
      <c r="D894" s="4" t="s">
        <v>580</v>
      </c>
    </row>
    <row r="895" spans="1:6" x14ac:dyDescent="0.25">
      <c r="A895" s="6" t="s">
        <v>575</v>
      </c>
      <c r="B895" s="6" t="s">
        <v>70</v>
      </c>
      <c r="D895" s="4" t="s">
        <v>364</v>
      </c>
      <c r="E895" s="5">
        <v>8000</v>
      </c>
    </row>
    <row r="896" spans="1:6" x14ac:dyDescent="0.25">
      <c r="A896" s="6" t="s">
        <v>575</v>
      </c>
      <c r="B896" s="6" t="s">
        <v>46</v>
      </c>
      <c r="D896" s="4" t="s">
        <v>47</v>
      </c>
      <c r="E896" s="5">
        <v>0</v>
      </c>
    </row>
    <row r="897" spans="1:6" x14ac:dyDescent="0.25">
      <c r="A897" s="6" t="s">
        <v>575</v>
      </c>
      <c r="B897" s="11" t="s">
        <v>374</v>
      </c>
      <c r="D897" s="4" t="s">
        <v>375</v>
      </c>
      <c r="E897" s="5">
        <v>400</v>
      </c>
    </row>
    <row r="898" spans="1:6" x14ac:dyDescent="0.25">
      <c r="A898" s="6" t="s">
        <v>575</v>
      </c>
      <c r="B898" s="11" t="s">
        <v>423</v>
      </c>
      <c r="D898" s="4" t="s">
        <v>582</v>
      </c>
      <c r="E898" s="5">
        <v>4000</v>
      </c>
    </row>
    <row r="899" spans="1:6" x14ac:dyDescent="0.25">
      <c r="A899" s="6" t="s">
        <v>575</v>
      </c>
      <c r="B899" s="11" t="s">
        <v>500</v>
      </c>
      <c r="D899" s="4" t="s">
        <v>583</v>
      </c>
      <c r="E899" s="5">
        <v>0</v>
      </c>
    </row>
    <row r="900" spans="1:6" x14ac:dyDescent="0.25">
      <c r="A900" s="6" t="s">
        <v>575</v>
      </c>
      <c r="B900" s="11" t="s">
        <v>112</v>
      </c>
      <c r="D900" s="4" t="s">
        <v>297</v>
      </c>
      <c r="E900" s="5">
        <v>0</v>
      </c>
    </row>
    <row r="901" spans="1:6" x14ac:dyDescent="0.25">
      <c r="A901" s="6" t="s">
        <v>575</v>
      </c>
      <c r="B901" s="6" t="s">
        <v>78</v>
      </c>
      <c r="D901" s="4" t="s">
        <v>570</v>
      </c>
      <c r="E901" s="5">
        <v>20000</v>
      </c>
    </row>
    <row r="902" spans="1:6" x14ac:dyDescent="0.25">
      <c r="A902" s="6" t="s">
        <v>575</v>
      </c>
      <c r="B902" s="6" t="s">
        <v>78</v>
      </c>
      <c r="D902" s="4" t="s">
        <v>570</v>
      </c>
      <c r="E902" s="5">
        <v>0</v>
      </c>
    </row>
    <row r="903" spans="1:6" x14ac:dyDescent="0.25">
      <c r="A903" s="6" t="s">
        <v>575</v>
      </c>
      <c r="B903" s="6" t="s">
        <v>78</v>
      </c>
      <c r="D903" s="4" t="s">
        <v>570</v>
      </c>
    </row>
    <row r="904" spans="1:6" x14ac:dyDescent="0.25">
      <c r="A904" s="6" t="s">
        <v>575</v>
      </c>
      <c r="B904" s="6" t="s">
        <v>80</v>
      </c>
      <c r="D904" s="4" t="s">
        <v>584</v>
      </c>
      <c r="E904" s="5">
        <v>130000</v>
      </c>
    </row>
    <row r="905" spans="1:6" x14ac:dyDescent="0.25">
      <c r="A905" s="6" t="s">
        <v>575</v>
      </c>
      <c r="B905" s="11" t="s">
        <v>131</v>
      </c>
      <c r="D905" s="4" t="s">
        <v>132</v>
      </c>
      <c r="E905" s="5">
        <v>0</v>
      </c>
    </row>
    <row r="906" spans="1:6" x14ac:dyDescent="0.25">
      <c r="A906" s="6" t="s">
        <v>575</v>
      </c>
      <c r="B906" s="11" t="s">
        <v>298</v>
      </c>
      <c r="D906" s="4" t="s">
        <v>299</v>
      </c>
      <c r="E906" s="5">
        <v>500</v>
      </c>
    </row>
    <row r="907" spans="1:6" x14ac:dyDescent="0.25">
      <c r="A907" s="6" t="s">
        <v>575</v>
      </c>
      <c r="B907" s="11" t="s">
        <v>192</v>
      </c>
      <c r="D907" s="4" t="s">
        <v>193</v>
      </c>
      <c r="E907" s="5">
        <v>500</v>
      </c>
    </row>
    <row r="908" spans="1:6" x14ac:dyDescent="0.25">
      <c r="A908" s="6" t="s">
        <v>575</v>
      </c>
      <c r="B908" s="11" t="s">
        <v>27</v>
      </c>
      <c r="D908" s="4" t="s">
        <v>585</v>
      </c>
      <c r="E908" s="5">
        <v>1000</v>
      </c>
    </row>
    <row r="910" spans="1:6" x14ac:dyDescent="0.25">
      <c r="A910" s="6" t="s">
        <v>586</v>
      </c>
      <c r="B910" s="6" t="s">
        <v>4</v>
      </c>
      <c r="C910" s="6" t="s">
        <v>4</v>
      </c>
      <c r="D910" s="4" t="s">
        <v>4</v>
      </c>
      <c r="E910" s="5">
        <f>SUM(E874:E908)</f>
        <v>1076840.4004000002</v>
      </c>
    </row>
    <row r="911" spans="1:6" x14ac:dyDescent="0.25">
      <c r="F911" s="13"/>
    </row>
    <row r="912" spans="1:6" x14ac:dyDescent="0.25">
      <c r="A912" s="6" t="s">
        <v>587</v>
      </c>
    </row>
    <row r="913" spans="1:6" x14ac:dyDescent="0.25">
      <c r="A913" s="6" t="s">
        <v>12</v>
      </c>
    </row>
    <row r="914" spans="1:6" x14ac:dyDescent="0.25">
      <c r="A914" s="6" t="s">
        <v>588</v>
      </c>
      <c r="B914" s="12" t="s">
        <v>173</v>
      </c>
      <c r="D914" s="4" t="s">
        <v>589</v>
      </c>
      <c r="E914" s="5">
        <v>0</v>
      </c>
    </row>
    <row r="915" spans="1:6" x14ac:dyDescent="0.25">
      <c r="A915" s="6" t="s">
        <v>588</v>
      </c>
      <c r="B915" s="12" t="s">
        <v>590</v>
      </c>
      <c r="D915" s="4" t="s">
        <v>591</v>
      </c>
      <c r="E915" s="5">
        <v>0</v>
      </c>
    </row>
    <row r="916" spans="1:6" x14ac:dyDescent="0.25">
      <c r="A916" s="6" t="s">
        <v>588</v>
      </c>
      <c r="B916" s="6" t="s">
        <v>72</v>
      </c>
      <c r="D916" s="4" t="s">
        <v>73</v>
      </c>
      <c r="E916" s="5">
        <f>42000-42000+15000</f>
        <v>15000</v>
      </c>
    </row>
    <row r="917" spans="1:6" x14ac:dyDescent="0.25">
      <c r="A917" s="6" t="s">
        <v>588</v>
      </c>
      <c r="B917" s="6" t="s">
        <v>78</v>
      </c>
      <c r="D917" s="4" t="s">
        <v>570</v>
      </c>
      <c r="E917" s="5">
        <f>4300-4300</f>
        <v>0</v>
      </c>
    </row>
    <row r="919" spans="1:6" x14ac:dyDescent="0.25">
      <c r="A919" s="6" t="s">
        <v>592</v>
      </c>
      <c r="B919" s="6" t="s">
        <v>4</v>
      </c>
      <c r="C919" s="6" t="s">
        <v>4</v>
      </c>
      <c r="D919" s="4" t="s">
        <v>4</v>
      </c>
      <c r="E919" s="5">
        <f>SUM(E914:E917)</f>
        <v>15000</v>
      </c>
    </row>
    <row r="921" spans="1:6" x14ac:dyDescent="0.25">
      <c r="A921" s="6" t="s">
        <v>593</v>
      </c>
    </row>
    <row r="922" spans="1:6" x14ac:dyDescent="0.25">
      <c r="A922" s="6" t="s">
        <v>12</v>
      </c>
    </row>
    <row r="923" spans="1:6" x14ac:dyDescent="0.25">
      <c r="A923" s="6" t="s">
        <v>594</v>
      </c>
      <c r="B923" s="6" t="s">
        <v>107</v>
      </c>
      <c r="D923" s="4" t="s">
        <v>414</v>
      </c>
      <c r="E923" s="5">
        <f>13000+15000</f>
        <v>28000</v>
      </c>
    </row>
    <row r="924" spans="1:6" x14ac:dyDescent="0.25">
      <c r="A924" s="6" t="s">
        <v>594</v>
      </c>
      <c r="B924" s="6" t="s">
        <v>88</v>
      </c>
      <c r="D924" s="4" t="s">
        <v>523</v>
      </c>
      <c r="F924" s="4" t="s">
        <v>4</v>
      </c>
    </row>
    <row r="925" spans="1:6" x14ac:dyDescent="0.25">
      <c r="A925" s="6" t="s">
        <v>594</v>
      </c>
      <c r="B925" s="6" t="s">
        <v>46</v>
      </c>
      <c r="D925" s="4" t="s">
        <v>47</v>
      </c>
      <c r="F925" s="4" t="s">
        <v>4</v>
      </c>
    </row>
    <row r="927" spans="1:6" x14ac:dyDescent="0.25">
      <c r="A927" s="6" t="s">
        <v>595</v>
      </c>
      <c r="B927" s="6" t="s">
        <v>4</v>
      </c>
      <c r="C927" s="6" t="s">
        <v>4</v>
      </c>
      <c r="D927" s="4" t="s">
        <v>4</v>
      </c>
      <c r="E927" s="5">
        <f>SUM(E923:E925)</f>
        <v>28000</v>
      </c>
    </row>
    <row r="929" spans="1:6" hidden="1" x14ac:dyDescent="0.25">
      <c r="A929" s="6" t="s">
        <v>596</v>
      </c>
    </row>
    <row r="930" spans="1:6" hidden="1" x14ac:dyDescent="0.25">
      <c r="A930" s="6" t="s">
        <v>12</v>
      </c>
    </row>
    <row r="931" spans="1:6" hidden="1" x14ac:dyDescent="0.25">
      <c r="A931" s="6" t="s">
        <v>597</v>
      </c>
      <c r="B931" s="12" t="s">
        <v>61</v>
      </c>
      <c r="D931" s="4" t="s">
        <v>62</v>
      </c>
      <c r="E931" s="5">
        <v>0</v>
      </c>
    </row>
    <row r="932" spans="1:6" hidden="1" x14ac:dyDescent="0.25">
      <c r="A932" s="6" t="s">
        <v>597</v>
      </c>
      <c r="B932" s="6" t="s">
        <v>44</v>
      </c>
      <c r="D932" s="4" t="s">
        <v>120</v>
      </c>
      <c r="E932" s="5">
        <v>0</v>
      </c>
      <c r="F932" s="4" t="s">
        <v>4</v>
      </c>
    </row>
    <row r="933" spans="1:6" hidden="1" x14ac:dyDescent="0.25">
      <c r="A933" s="6" t="s">
        <v>597</v>
      </c>
      <c r="B933" s="11" t="s">
        <v>328</v>
      </c>
      <c r="D933" s="4" t="s">
        <v>598</v>
      </c>
      <c r="E933" s="5">
        <v>0</v>
      </c>
    </row>
    <row r="934" spans="1:6" hidden="1" x14ac:dyDescent="0.25">
      <c r="A934" s="6" t="s">
        <v>597</v>
      </c>
      <c r="B934" s="11" t="s">
        <v>46</v>
      </c>
      <c r="D934" s="4" t="s">
        <v>599</v>
      </c>
      <c r="E934" s="5">
        <v>0</v>
      </c>
      <c r="F934" s="4" t="s">
        <v>4</v>
      </c>
    </row>
    <row r="935" spans="1:6" hidden="1" x14ac:dyDescent="0.25">
      <c r="A935" s="6" t="s">
        <v>597</v>
      </c>
      <c r="B935" s="11" t="s">
        <v>72</v>
      </c>
      <c r="D935" s="4" t="s">
        <v>111</v>
      </c>
      <c r="E935" s="5">
        <v>0</v>
      </c>
    </row>
    <row r="936" spans="1:6" hidden="1" x14ac:dyDescent="0.25"/>
    <row r="937" spans="1:6" hidden="1" x14ac:dyDescent="0.25">
      <c r="A937" s="6" t="s">
        <v>600</v>
      </c>
      <c r="B937" s="6" t="s">
        <v>4</v>
      </c>
      <c r="C937" s="6" t="s">
        <v>4</v>
      </c>
      <c r="D937" s="4" t="s">
        <v>4</v>
      </c>
      <c r="E937" s="5">
        <f>SUM(E931:E935)</f>
        <v>0</v>
      </c>
    </row>
    <row r="938" spans="1:6" hidden="1" x14ac:dyDescent="0.25"/>
    <row r="939" spans="1:6" x14ac:dyDescent="0.25">
      <c r="A939" s="6" t="s">
        <v>601</v>
      </c>
    </row>
    <row r="940" spans="1:6" x14ac:dyDescent="0.25">
      <c r="A940" s="6" t="s">
        <v>12</v>
      </c>
    </row>
    <row r="941" spans="1:6" x14ac:dyDescent="0.25">
      <c r="A941" s="11" t="s">
        <v>602</v>
      </c>
      <c r="B941" s="11" t="s">
        <v>53</v>
      </c>
      <c r="D941" s="4" t="s">
        <v>54</v>
      </c>
      <c r="E941" s="5">
        <v>78622</v>
      </c>
    </row>
    <row r="942" spans="1:6" x14ac:dyDescent="0.25">
      <c r="A942" s="11" t="s">
        <v>602</v>
      </c>
      <c r="B942" s="11" t="s">
        <v>34</v>
      </c>
      <c r="D942" s="4" t="s">
        <v>57</v>
      </c>
      <c r="E942" s="5">
        <v>6375</v>
      </c>
      <c r="F942" s="4" t="s">
        <v>603</v>
      </c>
    </row>
    <row r="943" spans="1:6" x14ac:dyDescent="0.25">
      <c r="A943" s="11" t="s">
        <v>602</v>
      </c>
      <c r="B943" s="11" t="s">
        <v>14</v>
      </c>
      <c r="D943" s="4" t="s">
        <v>15</v>
      </c>
      <c r="E943" s="5">
        <v>117964</v>
      </c>
      <c r="F943" s="4" t="s">
        <v>509</v>
      </c>
    </row>
    <row r="944" spans="1:6" x14ac:dyDescent="0.25">
      <c r="A944" s="11" t="s">
        <v>602</v>
      </c>
      <c r="B944" s="11" t="s">
        <v>25</v>
      </c>
      <c r="D944" s="4" t="s">
        <v>26</v>
      </c>
      <c r="E944" s="5">
        <f>350+5650+1620+6000-1620-6000+2000</f>
        <v>8000</v>
      </c>
      <c r="F944" s="4" t="s">
        <v>604</v>
      </c>
    </row>
    <row r="945" spans="1:5" x14ac:dyDescent="0.25">
      <c r="A945" s="11" t="s">
        <v>602</v>
      </c>
      <c r="B945" s="11" t="s">
        <v>17</v>
      </c>
      <c r="D945" s="4" t="s">
        <v>605</v>
      </c>
      <c r="E945" s="5">
        <f>E944*B3801</f>
        <v>496</v>
      </c>
    </row>
    <row r="946" spans="1:5" x14ac:dyDescent="0.25">
      <c r="A946" s="11" t="s">
        <v>602</v>
      </c>
      <c r="B946" s="6" t="s">
        <v>19</v>
      </c>
      <c r="D946" s="4" t="s">
        <v>20</v>
      </c>
      <c r="E946" s="5">
        <f>(E941+E942+E943+E944)*B3802</f>
        <v>3058.9345000000003</v>
      </c>
    </row>
    <row r="947" spans="1:5" x14ac:dyDescent="0.25">
      <c r="A947" s="11" t="s">
        <v>602</v>
      </c>
      <c r="B947" s="6" t="s">
        <v>40</v>
      </c>
      <c r="D947" s="4" t="s">
        <v>60</v>
      </c>
      <c r="E947" s="5">
        <f>(E941++E942+E943)*B3799</f>
        <v>6088.83</v>
      </c>
    </row>
    <row r="948" spans="1:5" x14ac:dyDescent="0.25">
      <c r="A948" s="11" t="s">
        <v>602</v>
      </c>
      <c r="B948" s="11" t="s">
        <v>21</v>
      </c>
      <c r="D948" s="4" t="s">
        <v>606</v>
      </c>
      <c r="E948" s="5">
        <f>E944*B3803</f>
        <v>1867.2</v>
      </c>
    </row>
    <row r="949" spans="1:5" x14ac:dyDescent="0.25">
      <c r="A949" s="11" t="s">
        <v>602</v>
      </c>
      <c r="B949" s="11" t="s">
        <v>197</v>
      </c>
      <c r="D949" s="4" t="s">
        <v>607</v>
      </c>
      <c r="E949" s="5">
        <v>1500</v>
      </c>
    </row>
    <row r="950" spans="1:5" x14ac:dyDescent="0.25">
      <c r="A950" s="11" t="s">
        <v>602</v>
      </c>
      <c r="B950" s="11" t="s">
        <v>61</v>
      </c>
      <c r="D950" s="4" t="s">
        <v>62</v>
      </c>
      <c r="E950" s="5">
        <v>2500</v>
      </c>
    </row>
    <row r="951" spans="1:5" x14ac:dyDescent="0.25">
      <c r="A951" s="11" t="s">
        <v>602</v>
      </c>
      <c r="B951" s="11" t="s">
        <v>44</v>
      </c>
      <c r="D951" s="4" t="s">
        <v>45</v>
      </c>
      <c r="E951" s="5">
        <v>7500</v>
      </c>
    </row>
    <row r="952" spans="1:5" x14ac:dyDescent="0.25">
      <c r="A952" s="11" t="s">
        <v>602</v>
      </c>
      <c r="B952" s="11" t="s">
        <v>372</v>
      </c>
      <c r="D952" s="4" t="s">
        <v>608</v>
      </c>
      <c r="E952" s="5">
        <v>8000</v>
      </c>
    </row>
    <row r="953" spans="1:5" x14ac:dyDescent="0.25">
      <c r="A953" s="11" t="s">
        <v>602</v>
      </c>
      <c r="B953" s="11" t="s">
        <v>385</v>
      </c>
      <c r="D953" s="4" t="s">
        <v>560</v>
      </c>
      <c r="E953" s="5">
        <f>500-500</f>
        <v>0</v>
      </c>
    </row>
    <row r="954" spans="1:5" x14ac:dyDescent="0.25">
      <c r="A954" s="11" t="s">
        <v>602</v>
      </c>
      <c r="B954" s="6" t="s">
        <v>88</v>
      </c>
      <c r="D954" s="4" t="s">
        <v>523</v>
      </c>
      <c r="E954" s="5">
        <v>400</v>
      </c>
    </row>
    <row r="955" spans="1:5" x14ac:dyDescent="0.25">
      <c r="A955" s="11" t="s">
        <v>602</v>
      </c>
      <c r="B955" s="11" t="s">
        <v>66</v>
      </c>
      <c r="D955" s="4" t="s">
        <v>310</v>
      </c>
      <c r="E955" s="5">
        <v>1300</v>
      </c>
    </row>
    <row r="956" spans="1:5" x14ac:dyDescent="0.25">
      <c r="A956" s="11" t="s">
        <v>602</v>
      </c>
      <c r="B956" s="6" t="s">
        <v>68</v>
      </c>
      <c r="D956" s="4" t="s">
        <v>190</v>
      </c>
      <c r="E956" s="5">
        <v>10000</v>
      </c>
    </row>
    <row r="957" spans="1:5" x14ac:dyDescent="0.25">
      <c r="A957" s="11" t="s">
        <v>602</v>
      </c>
      <c r="B957" s="11" t="s">
        <v>70</v>
      </c>
      <c r="D957" s="4" t="s">
        <v>335</v>
      </c>
      <c r="E957" s="5">
        <v>5000</v>
      </c>
    </row>
    <row r="958" spans="1:5" x14ac:dyDescent="0.25">
      <c r="A958" s="11" t="s">
        <v>602</v>
      </c>
      <c r="B958" s="6" t="s">
        <v>472</v>
      </c>
      <c r="D958" s="4" t="s">
        <v>473</v>
      </c>
      <c r="E958" s="5">
        <v>0</v>
      </c>
    </row>
    <row r="959" spans="1:5" x14ac:dyDescent="0.25">
      <c r="A959" s="11" t="s">
        <v>602</v>
      </c>
      <c r="B959" s="6" t="s">
        <v>46</v>
      </c>
      <c r="D959" s="4" t="s">
        <v>47</v>
      </c>
      <c r="E959" s="5">
        <v>5000</v>
      </c>
    </row>
    <row r="960" spans="1:5" x14ac:dyDescent="0.25">
      <c r="A960" s="11" t="s">
        <v>602</v>
      </c>
      <c r="B960" s="11" t="s">
        <v>72</v>
      </c>
      <c r="D960" s="4" t="s">
        <v>526</v>
      </c>
      <c r="E960" s="5">
        <v>800</v>
      </c>
    </row>
    <row r="961" spans="1:6" x14ac:dyDescent="0.25">
      <c r="A961" s="11" t="s">
        <v>602</v>
      </c>
      <c r="B961" s="11" t="s">
        <v>48</v>
      </c>
      <c r="D961" s="4" t="s">
        <v>49</v>
      </c>
      <c r="E961" s="5">
        <f>5000-1500</f>
        <v>3500</v>
      </c>
    </row>
    <row r="962" spans="1:6" x14ac:dyDescent="0.25">
      <c r="A962" s="11" t="s">
        <v>602</v>
      </c>
      <c r="B962" s="11" t="s">
        <v>78</v>
      </c>
      <c r="D962" s="4" t="s">
        <v>79</v>
      </c>
      <c r="E962" s="5">
        <v>2000</v>
      </c>
    </row>
    <row r="963" spans="1:6" x14ac:dyDescent="0.25">
      <c r="A963" s="11" t="s">
        <v>602</v>
      </c>
      <c r="B963" s="11" t="s">
        <v>339</v>
      </c>
      <c r="D963" s="4" t="s">
        <v>340</v>
      </c>
      <c r="E963" s="5">
        <v>1500</v>
      </c>
    </row>
    <row r="964" spans="1:6" x14ac:dyDescent="0.25">
      <c r="A964" s="11" t="s">
        <v>602</v>
      </c>
      <c r="B964" s="11" t="s">
        <v>298</v>
      </c>
      <c r="D964" s="4" t="s">
        <v>299</v>
      </c>
      <c r="E964" s="5">
        <v>4000</v>
      </c>
    </row>
    <row r="965" spans="1:6" x14ac:dyDescent="0.25">
      <c r="A965" s="11" t="s">
        <v>602</v>
      </c>
      <c r="B965" s="11" t="s">
        <v>131</v>
      </c>
      <c r="D965" s="4" t="s">
        <v>132</v>
      </c>
      <c r="E965" s="5">
        <v>0</v>
      </c>
    </row>
    <row r="967" spans="1:6" x14ac:dyDescent="0.25">
      <c r="A967" s="6" t="s">
        <v>609</v>
      </c>
      <c r="B967" s="6" t="s">
        <v>4</v>
      </c>
      <c r="C967" s="6" t="s">
        <v>4</v>
      </c>
      <c r="D967" s="4" t="s">
        <v>4</v>
      </c>
      <c r="E967" s="5">
        <f>SUM(E941:E965)</f>
        <v>275471.9645</v>
      </c>
      <c r="F967" s="13"/>
    </row>
    <row r="968" spans="1:6" x14ac:dyDescent="0.25">
      <c r="A968" s="6"/>
      <c r="B968" s="6"/>
      <c r="C968" s="6"/>
    </row>
    <row r="969" spans="1:6" hidden="1" x14ac:dyDescent="0.25">
      <c r="A969" s="6" t="s">
        <v>610</v>
      </c>
    </row>
    <row r="970" spans="1:6" hidden="1" x14ac:dyDescent="0.25">
      <c r="A970" s="6" t="s">
        <v>12</v>
      </c>
    </row>
    <row r="971" spans="1:6" hidden="1" x14ac:dyDescent="0.25">
      <c r="A971" s="6" t="s">
        <v>611</v>
      </c>
      <c r="B971" s="6" t="s">
        <v>14</v>
      </c>
      <c r="D971" s="4" t="s">
        <v>15</v>
      </c>
      <c r="E971" s="5">
        <v>0</v>
      </c>
      <c r="F971" s="4" t="s">
        <v>557</v>
      </c>
    </row>
    <row r="972" spans="1:6" hidden="1" x14ac:dyDescent="0.25">
      <c r="A972" s="6" t="s">
        <v>611</v>
      </c>
      <c r="B972" s="6" t="s">
        <v>19</v>
      </c>
      <c r="D972" s="4" t="s">
        <v>20</v>
      </c>
      <c r="E972" s="5">
        <v>0</v>
      </c>
      <c r="F972" s="4" t="s">
        <v>558</v>
      </c>
    </row>
    <row r="973" spans="1:6" hidden="1" x14ac:dyDescent="0.25">
      <c r="A973" s="6" t="s">
        <v>611</v>
      </c>
      <c r="B973" s="6" t="s">
        <v>40</v>
      </c>
      <c r="D973" s="4" t="s">
        <v>60</v>
      </c>
      <c r="E973" s="5">
        <f>E971*B3799</f>
        <v>0</v>
      </c>
      <c r="F973" s="4" t="s">
        <v>612</v>
      </c>
    </row>
    <row r="974" spans="1:6" hidden="1" x14ac:dyDescent="0.25">
      <c r="A974" s="6" t="s">
        <v>611</v>
      </c>
      <c r="B974" s="11" t="s">
        <v>61</v>
      </c>
      <c r="D974" s="4" t="s">
        <v>62</v>
      </c>
      <c r="E974" s="5">
        <v>0</v>
      </c>
    </row>
    <row r="975" spans="1:6" hidden="1" x14ac:dyDescent="0.25">
      <c r="A975" s="6" t="s">
        <v>611</v>
      </c>
      <c r="B975" s="6" t="s">
        <v>88</v>
      </c>
      <c r="D975" s="4" t="s">
        <v>523</v>
      </c>
      <c r="E975" s="5">
        <v>0</v>
      </c>
    </row>
    <row r="976" spans="1:6" hidden="1" x14ac:dyDescent="0.25">
      <c r="A976" s="6" t="s">
        <v>611</v>
      </c>
      <c r="B976" s="6" t="s">
        <v>68</v>
      </c>
      <c r="D976" s="4" t="s">
        <v>190</v>
      </c>
      <c r="E976" s="5">
        <v>0</v>
      </c>
    </row>
    <row r="977" spans="1:6" hidden="1" x14ac:dyDescent="0.25">
      <c r="A977" s="6" t="s">
        <v>611</v>
      </c>
      <c r="B977" s="6" t="s">
        <v>328</v>
      </c>
      <c r="D977" s="4" t="s">
        <v>329</v>
      </c>
      <c r="E977" s="5">
        <v>0</v>
      </c>
    </row>
    <row r="978" spans="1:6" hidden="1" x14ac:dyDescent="0.25">
      <c r="A978" s="6" t="s">
        <v>611</v>
      </c>
      <c r="B978" s="6" t="s">
        <v>472</v>
      </c>
      <c r="D978" s="4" t="s">
        <v>473</v>
      </c>
      <c r="E978" s="5">
        <v>0</v>
      </c>
    </row>
    <row r="979" spans="1:6" hidden="1" x14ac:dyDescent="0.25">
      <c r="A979" s="6" t="s">
        <v>611</v>
      </c>
      <c r="B979" s="6" t="s">
        <v>46</v>
      </c>
      <c r="D979" s="4" t="s">
        <v>47</v>
      </c>
      <c r="E979" s="5">
        <v>0</v>
      </c>
    </row>
    <row r="980" spans="1:6" hidden="1" x14ac:dyDescent="0.25"/>
    <row r="981" spans="1:6" hidden="1" x14ac:dyDescent="0.25">
      <c r="A981" s="6" t="s">
        <v>613</v>
      </c>
      <c r="B981" s="6" t="s">
        <v>4</v>
      </c>
      <c r="C981" s="6" t="s">
        <v>4</v>
      </c>
      <c r="D981" s="4" t="s">
        <v>4</v>
      </c>
      <c r="E981" s="5">
        <f>SUM(E971:E979)</f>
        <v>0</v>
      </c>
    </row>
    <row r="982" spans="1:6" hidden="1" x14ac:dyDescent="0.25"/>
    <row r="983" spans="1:6" hidden="1" x14ac:dyDescent="0.25">
      <c r="A983" s="6" t="s">
        <v>614</v>
      </c>
    </row>
    <row r="984" spans="1:6" hidden="1" x14ac:dyDescent="0.25">
      <c r="A984" s="6" t="s">
        <v>12</v>
      </c>
    </row>
    <row r="985" spans="1:6" hidden="1" x14ac:dyDescent="0.25">
      <c r="A985" s="6" t="s">
        <v>615</v>
      </c>
      <c r="B985" s="6" t="s">
        <v>53</v>
      </c>
      <c r="D985" s="4" t="s">
        <v>54</v>
      </c>
      <c r="E985" s="5">
        <v>0</v>
      </c>
      <c r="F985" s="4" t="s">
        <v>4</v>
      </c>
    </row>
    <row r="986" spans="1:6" hidden="1" x14ac:dyDescent="0.25">
      <c r="A986" s="6" t="s">
        <v>615</v>
      </c>
      <c r="B986" s="6" t="s">
        <v>19</v>
      </c>
      <c r="D986" s="4" t="s">
        <v>20</v>
      </c>
      <c r="E986" s="5">
        <f>E985*B3798</f>
        <v>0</v>
      </c>
      <c r="F986" s="4" t="s">
        <v>4</v>
      </c>
    </row>
    <row r="987" spans="1:6" hidden="1" x14ac:dyDescent="0.25">
      <c r="A987" s="6" t="s">
        <v>615</v>
      </c>
      <c r="B987" s="11" t="s">
        <v>40</v>
      </c>
      <c r="D987" s="4" t="s">
        <v>60</v>
      </c>
      <c r="E987" s="5">
        <f>E985*B3799</f>
        <v>0</v>
      </c>
    </row>
    <row r="988" spans="1:6" hidden="1" x14ac:dyDescent="0.25">
      <c r="A988" s="6" t="s">
        <v>615</v>
      </c>
      <c r="B988" s="6" t="s">
        <v>42</v>
      </c>
      <c r="D988" s="4" t="s">
        <v>616</v>
      </c>
      <c r="E988" s="5">
        <v>0</v>
      </c>
      <c r="F988" s="4" t="s">
        <v>4</v>
      </c>
    </row>
    <row r="989" spans="1:6" hidden="1" x14ac:dyDescent="0.25">
      <c r="A989" s="6" t="s">
        <v>615</v>
      </c>
      <c r="B989" s="6" t="s">
        <v>46</v>
      </c>
      <c r="D989" s="4" t="s">
        <v>47</v>
      </c>
      <c r="E989" s="5">
        <v>0</v>
      </c>
      <c r="F989" s="4" t="s">
        <v>4</v>
      </c>
    </row>
    <row r="990" spans="1:6" hidden="1" x14ac:dyDescent="0.25"/>
    <row r="991" spans="1:6" hidden="1" x14ac:dyDescent="0.25">
      <c r="A991" s="6" t="s">
        <v>617</v>
      </c>
      <c r="B991" s="6" t="s">
        <v>4</v>
      </c>
      <c r="C991" s="6" t="s">
        <v>4</v>
      </c>
      <c r="D991" s="4" t="s">
        <v>4</v>
      </c>
      <c r="E991" s="5">
        <f>SUM(E985:E989)</f>
        <v>0</v>
      </c>
    </row>
    <row r="992" spans="1:6" hidden="1" x14ac:dyDescent="0.25"/>
    <row r="993" spans="1:6" hidden="1" x14ac:dyDescent="0.25">
      <c r="A993" s="6" t="s">
        <v>618</v>
      </c>
    </row>
    <row r="994" spans="1:6" hidden="1" x14ac:dyDescent="0.25">
      <c r="A994" s="6" t="s">
        <v>12</v>
      </c>
    </row>
    <row r="995" spans="1:6" hidden="1" x14ac:dyDescent="0.25">
      <c r="A995" s="6" t="s">
        <v>619</v>
      </c>
      <c r="B995" s="6" t="s">
        <v>53</v>
      </c>
      <c r="D995" s="4" t="s">
        <v>54</v>
      </c>
      <c r="E995" s="5">
        <f>41410-41410</f>
        <v>0</v>
      </c>
    </row>
    <row r="996" spans="1:6" hidden="1" x14ac:dyDescent="0.25">
      <c r="A996" s="6" t="s">
        <v>619</v>
      </c>
      <c r="B996" s="6" t="s">
        <v>14</v>
      </c>
      <c r="D996" s="4" t="s">
        <v>15</v>
      </c>
      <c r="E996" s="5">
        <v>0</v>
      </c>
      <c r="F996" s="4" t="s">
        <v>4</v>
      </c>
    </row>
    <row r="997" spans="1:6" hidden="1" x14ac:dyDescent="0.25">
      <c r="A997" s="6" t="s">
        <v>619</v>
      </c>
      <c r="B997" s="6" t="s">
        <v>17</v>
      </c>
      <c r="D997" s="4" t="s">
        <v>18</v>
      </c>
      <c r="E997" s="5">
        <f>E996*B3801</f>
        <v>0</v>
      </c>
      <c r="F997" s="4" t="s">
        <v>4</v>
      </c>
    </row>
    <row r="998" spans="1:6" hidden="1" x14ac:dyDescent="0.25">
      <c r="A998" s="6" t="s">
        <v>619</v>
      </c>
      <c r="B998" s="6" t="s">
        <v>19</v>
      </c>
      <c r="D998" s="4" t="s">
        <v>20</v>
      </c>
      <c r="E998" s="5">
        <f>SUM(E995:E996)*B3802</f>
        <v>0</v>
      </c>
      <c r="F998" s="4" t="s">
        <v>4</v>
      </c>
    </row>
    <row r="999" spans="1:6" hidden="1" x14ac:dyDescent="0.25">
      <c r="A999" s="6" t="s">
        <v>619</v>
      </c>
      <c r="B999" s="11" t="s">
        <v>40</v>
      </c>
      <c r="D999" s="4" t="s">
        <v>60</v>
      </c>
      <c r="E999" s="5">
        <f>E995*B3799</f>
        <v>0</v>
      </c>
    </row>
    <row r="1000" spans="1:6" hidden="1" x14ac:dyDescent="0.25">
      <c r="A1000" s="6" t="s">
        <v>619</v>
      </c>
      <c r="B1000" s="6" t="s">
        <v>21</v>
      </c>
      <c r="D1000" s="4" t="s">
        <v>22</v>
      </c>
      <c r="E1000" s="5">
        <f>E996*B3803</f>
        <v>0</v>
      </c>
      <c r="F1000" s="4" t="s">
        <v>4</v>
      </c>
    </row>
    <row r="1001" spans="1:6" hidden="1" x14ac:dyDescent="0.25">
      <c r="A1001" s="6" t="s">
        <v>619</v>
      </c>
      <c r="B1001" s="11" t="s">
        <v>78</v>
      </c>
      <c r="D1001" s="4" t="s">
        <v>620</v>
      </c>
      <c r="E1001" s="5">
        <v>0</v>
      </c>
    </row>
    <row r="1002" spans="1:6" hidden="1" x14ac:dyDescent="0.25"/>
    <row r="1003" spans="1:6" hidden="1" x14ac:dyDescent="0.25">
      <c r="A1003" s="6" t="s">
        <v>621</v>
      </c>
      <c r="B1003" s="6" t="s">
        <v>4</v>
      </c>
      <c r="C1003" s="6" t="s">
        <v>4</v>
      </c>
      <c r="D1003" s="4" t="s">
        <v>4</v>
      </c>
      <c r="E1003" s="5">
        <f>SUM(E995:E1001)</f>
        <v>0</v>
      </c>
    </row>
    <row r="1004" spans="1:6" x14ac:dyDescent="0.25">
      <c r="A1004" s="6" t="s">
        <v>622</v>
      </c>
      <c r="B1004" s="6"/>
      <c r="C1004" s="6"/>
    </row>
    <row r="1005" spans="1:6" x14ac:dyDescent="0.25">
      <c r="A1005" s="6"/>
      <c r="B1005" s="6"/>
      <c r="C1005" s="6"/>
    </row>
    <row r="1006" spans="1:6" x14ac:dyDescent="0.25">
      <c r="A1006" s="11" t="s">
        <v>623</v>
      </c>
      <c r="B1006" s="11" t="s">
        <v>53</v>
      </c>
      <c r="C1006" s="6"/>
      <c r="D1006" s="4" t="s">
        <v>54</v>
      </c>
      <c r="E1006" s="5">
        <f>54865-54865</f>
        <v>0</v>
      </c>
    </row>
    <row r="1007" spans="1:6" x14ac:dyDescent="0.25">
      <c r="A1007" s="11" t="s">
        <v>623</v>
      </c>
      <c r="B1007" s="11" t="s">
        <v>55</v>
      </c>
      <c r="C1007" s="6"/>
      <c r="D1007" s="4" t="s">
        <v>56</v>
      </c>
      <c r="E1007" s="5">
        <f>14829-14829</f>
        <v>0</v>
      </c>
    </row>
    <row r="1008" spans="1:6" x14ac:dyDescent="0.25">
      <c r="A1008" s="11" t="s">
        <v>623</v>
      </c>
      <c r="B1008" s="11" t="s">
        <v>32</v>
      </c>
      <c r="C1008" s="6"/>
      <c r="D1008" s="4" t="s">
        <v>33</v>
      </c>
      <c r="E1008" s="5">
        <f>35030-35030</f>
        <v>0</v>
      </c>
    </row>
    <row r="1009" spans="1:5" x14ac:dyDescent="0.25">
      <c r="A1009" s="11" t="s">
        <v>623</v>
      </c>
      <c r="B1009" s="11" t="s">
        <v>19</v>
      </c>
      <c r="C1009" s="6"/>
      <c r="D1009" s="4" t="s">
        <v>20</v>
      </c>
      <c r="E1009" s="5">
        <f>SUM(E1006:E1008)*B3802</f>
        <v>0</v>
      </c>
    </row>
    <row r="1010" spans="1:5" x14ac:dyDescent="0.25">
      <c r="A1010" s="11" t="s">
        <v>623</v>
      </c>
      <c r="B1010" s="11" t="s">
        <v>40</v>
      </c>
      <c r="C1010" s="6"/>
      <c r="D1010" s="4" t="s">
        <v>60</v>
      </c>
      <c r="E1010" s="5">
        <f>SUM(E1006:E1008)*B3799</f>
        <v>0</v>
      </c>
    </row>
    <row r="1011" spans="1:5" x14ac:dyDescent="0.25">
      <c r="A1011" s="11" t="s">
        <v>623</v>
      </c>
      <c r="B1011" s="11" t="s">
        <v>66</v>
      </c>
      <c r="C1011" s="6"/>
      <c r="D1011" s="4" t="s">
        <v>310</v>
      </c>
      <c r="E1011" s="5">
        <v>0</v>
      </c>
    </row>
    <row r="1012" spans="1:5" x14ac:dyDescent="0.25">
      <c r="A1012" s="11" t="s">
        <v>623</v>
      </c>
      <c r="B1012" s="11" t="s">
        <v>70</v>
      </c>
      <c r="C1012" s="6"/>
      <c r="D1012" s="4" t="s">
        <v>335</v>
      </c>
      <c r="E1012" s="5">
        <v>0</v>
      </c>
    </row>
    <row r="1013" spans="1:5" x14ac:dyDescent="0.25">
      <c r="A1013" s="11" t="s">
        <v>623</v>
      </c>
      <c r="B1013" s="11" t="s">
        <v>46</v>
      </c>
      <c r="C1013" s="6"/>
      <c r="D1013" s="4" t="s">
        <v>47</v>
      </c>
      <c r="E1013" s="5">
        <v>0</v>
      </c>
    </row>
    <row r="1014" spans="1:5" x14ac:dyDescent="0.25">
      <c r="A1014" s="11" t="s">
        <v>623</v>
      </c>
      <c r="B1014" s="11" t="s">
        <v>94</v>
      </c>
      <c r="C1014" s="6"/>
      <c r="D1014" s="4" t="s">
        <v>294</v>
      </c>
      <c r="E1014" s="5">
        <v>0</v>
      </c>
    </row>
    <row r="1015" spans="1:5" x14ac:dyDescent="0.25">
      <c r="A1015" s="11"/>
      <c r="B1015" s="6"/>
      <c r="C1015" s="6"/>
    </row>
    <row r="1016" spans="1:5" x14ac:dyDescent="0.25">
      <c r="A1016" s="6" t="s">
        <v>624</v>
      </c>
      <c r="B1016" s="6"/>
      <c r="C1016" s="6"/>
      <c r="E1016" s="5">
        <f>SUM(E1006:E1014)</f>
        <v>0</v>
      </c>
    </row>
    <row r="1017" spans="1:5" x14ac:dyDescent="0.25">
      <c r="A1017" s="6"/>
      <c r="B1017" s="6"/>
      <c r="C1017" s="6"/>
    </row>
    <row r="1018" spans="1:5" x14ac:dyDescent="0.25">
      <c r="A1018" s="6" t="s">
        <v>625</v>
      </c>
      <c r="B1018" s="6"/>
      <c r="C1018" s="6"/>
    </row>
    <row r="1019" spans="1:5" x14ac:dyDescent="0.25">
      <c r="A1019" s="6"/>
      <c r="B1019" s="6"/>
      <c r="C1019" s="6"/>
    </row>
    <row r="1020" spans="1:5" x14ac:dyDescent="0.25">
      <c r="A1020" s="11" t="s">
        <v>626</v>
      </c>
      <c r="B1020" s="11" t="s">
        <v>34</v>
      </c>
      <c r="C1020" s="6"/>
      <c r="D1020" s="4" t="s">
        <v>57</v>
      </c>
      <c r="E1020" s="5">
        <f>2500+5000+5000</f>
        <v>12500</v>
      </c>
    </row>
    <row r="1021" spans="1:5" x14ac:dyDescent="0.25">
      <c r="A1021" s="11" t="s">
        <v>626</v>
      </c>
      <c r="B1021" s="11" t="s">
        <v>19</v>
      </c>
      <c r="C1021" s="6"/>
      <c r="D1021" s="4" t="s">
        <v>20</v>
      </c>
      <c r="E1021" s="5">
        <f>E1020*B3802</f>
        <v>181.25</v>
      </c>
    </row>
    <row r="1022" spans="1:5" x14ac:dyDescent="0.25">
      <c r="A1022" s="11" t="s">
        <v>626</v>
      </c>
      <c r="B1022" s="11" t="s">
        <v>40</v>
      </c>
      <c r="C1022" s="6"/>
      <c r="D1022" s="4" t="s">
        <v>60</v>
      </c>
      <c r="E1022" s="5">
        <f>E1020*B3799</f>
        <v>375</v>
      </c>
    </row>
    <row r="1023" spans="1:5" x14ac:dyDescent="0.25">
      <c r="A1023" s="11" t="s">
        <v>626</v>
      </c>
      <c r="B1023" s="11" t="s">
        <v>44</v>
      </c>
      <c r="C1023" s="6"/>
      <c r="D1023" s="4" t="s">
        <v>45</v>
      </c>
      <c r="E1023" s="5">
        <v>50000</v>
      </c>
    </row>
    <row r="1024" spans="1:5" x14ac:dyDescent="0.25">
      <c r="A1024" s="6"/>
      <c r="B1024" s="6"/>
      <c r="C1024" s="6"/>
    </row>
    <row r="1025" spans="1:6" x14ac:dyDescent="0.25">
      <c r="A1025" s="6" t="s">
        <v>627</v>
      </c>
      <c r="B1025" s="6"/>
      <c r="C1025" s="6"/>
      <c r="E1025" s="5">
        <f>SUM(E1020:E1023)</f>
        <v>63056.25</v>
      </c>
    </row>
    <row r="1026" spans="1:6" x14ac:dyDescent="0.25">
      <c r="A1026" s="6"/>
      <c r="B1026" s="6"/>
      <c r="C1026" s="6"/>
    </row>
    <row r="1027" spans="1:6" x14ac:dyDescent="0.25">
      <c r="A1027" s="6" t="s">
        <v>628</v>
      </c>
    </row>
    <row r="1028" spans="1:6" x14ac:dyDescent="0.25">
      <c r="A1028" s="11" t="s">
        <v>629</v>
      </c>
      <c r="B1028" s="12" t="s">
        <v>53</v>
      </c>
      <c r="D1028" s="4" t="s">
        <v>54</v>
      </c>
      <c r="E1028" s="5">
        <v>63030</v>
      </c>
    </row>
    <row r="1029" spans="1:6" x14ac:dyDescent="0.25">
      <c r="A1029" s="11" t="s">
        <v>629</v>
      </c>
      <c r="B1029" s="6" t="s">
        <v>14</v>
      </c>
      <c r="D1029" s="4" t="s">
        <v>15</v>
      </c>
      <c r="E1029" s="5">
        <v>0</v>
      </c>
      <c r="F1029" s="4" t="s">
        <v>630</v>
      </c>
    </row>
    <row r="1030" spans="1:6" x14ac:dyDescent="0.25">
      <c r="A1030" s="11" t="s">
        <v>629</v>
      </c>
      <c r="B1030" s="6" t="s">
        <v>17</v>
      </c>
      <c r="D1030" s="4" t="s">
        <v>18</v>
      </c>
      <c r="E1030" s="14">
        <v>0</v>
      </c>
    </row>
    <row r="1031" spans="1:6" x14ac:dyDescent="0.25">
      <c r="A1031" s="11" t="s">
        <v>629</v>
      </c>
      <c r="B1031" s="6" t="s">
        <v>19</v>
      </c>
      <c r="D1031" s="4" t="s">
        <v>20</v>
      </c>
      <c r="E1031" s="5">
        <f>(E1028+E1029)*B3802</f>
        <v>913.93500000000006</v>
      </c>
    </row>
    <row r="1032" spans="1:6" x14ac:dyDescent="0.25">
      <c r="A1032" s="11" t="s">
        <v>629</v>
      </c>
      <c r="B1032" s="11" t="s">
        <v>40</v>
      </c>
      <c r="D1032" s="4" t="s">
        <v>60</v>
      </c>
      <c r="E1032" s="5">
        <f>(E1028+E1029)*B3799</f>
        <v>1890.8999999999999</v>
      </c>
    </row>
    <row r="1034" spans="1:6" ht="15.75" customHeight="1" x14ac:dyDescent="0.25">
      <c r="A1034" s="6" t="s">
        <v>394</v>
      </c>
      <c r="E1034" s="5">
        <f>SUM(E1028:E1032)</f>
        <v>65834.834999999992</v>
      </c>
    </row>
    <row r="1035" spans="1:6" hidden="1" x14ac:dyDescent="0.25"/>
    <row r="1036" spans="1:6" hidden="1" x14ac:dyDescent="0.25">
      <c r="A1036" s="6" t="s">
        <v>631</v>
      </c>
    </row>
    <row r="1037" spans="1:6" hidden="1" x14ac:dyDescent="0.25">
      <c r="A1037" s="6" t="s">
        <v>12</v>
      </c>
    </row>
    <row r="1038" spans="1:6" hidden="1" x14ac:dyDescent="0.25">
      <c r="A1038" s="6" t="s">
        <v>632</v>
      </c>
      <c r="B1038" s="6" t="s">
        <v>72</v>
      </c>
      <c r="D1038" s="4" t="s">
        <v>73</v>
      </c>
      <c r="E1038" s="5">
        <f>12250+4000-16250</f>
        <v>0</v>
      </c>
    </row>
    <row r="1040" spans="1:6" x14ac:dyDescent="0.25">
      <c r="A1040" s="6" t="s">
        <v>633</v>
      </c>
      <c r="B1040" s="6" t="s">
        <v>4</v>
      </c>
      <c r="C1040" s="6" t="s">
        <v>4</v>
      </c>
      <c r="D1040" s="4" t="s">
        <v>4</v>
      </c>
      <c r="E1040" s="5">
        <f>E1038</f>
        <v>0</v>
      </c>
    </row>
    <row r="1041" spans="1:5" hidden="1" x14ac:dyDescent="0.25"/>
    <row r="1042" spans="1:5" hidden="1" x14ac:dyDescent="0.25">
      <c r="A1042" s="12" t="s">
        <v>634</v>
      </c>
    </row>
    <row r="1043" spans="1:5" hidden="1" x14ac:dyDescent="0.25">
      <c r="A1043" s="12" t="s">
        <v>632</v>
      </c>
      <c r="B1043" s="12" t="s">
        <v>53</v>
      </c>
      <c r="D1043" s="4" t="s">
        <v>54</v>
      </c>
      <c r="E1043" s="5">
        <f>53804-53804</f>
        <v>0</v>
      </c>
    </row>
    <row r="1044" spans="1:5" hidden="1" x14ac:dyDescent="0.25">
      <c r="A1044" s="12" t="s">
        <v>632</v>
      </c>
      <c r="B1044" s="12" t="s">
        <v>55</v>
      </c>
      <c r="D1044" s="4" t="s">
        <v>56</v>
      </c>
      <c r="E1044" s="5">
        <v>0</v>
      </c>
    </row>
    <row r="1045" spans="1:5" hidden="1" x14ac:dyDescent="0.25">
      <c r="A1045" s="12" t="s">
        <v>632</v>
      </c>
      <c r="B1045" s="12" t="s">
        <v>32</v>
      </c>
      <c r="D1045" s="4" t="s">
        <v>33</v>
      </c>
      <c r="E1045" s="5">
        <v>0</v>
      </c>
    </row>
    <row r="1046" spans="1:5" hidden="1" x14ac:dyDescent="0.25">
      <c r="A1046" s="12" t="s">
        <v>632</v>
      </c>
      <c r="B1046" s="12" t="s">
        <v>19</v>
      </c>
      <c r="D1046" s="4" t="s">
        <v>20</v>
      </c>
      <c r="E1046" s="5">
        <f>SUM(E1043:E1045)*B3802</f>
        <v>0</v>
      </c>
    </row>
    <row r="1047" spans="1:5" hidden="1" x14ac:dyDescent="0.25">
      <c r="A1047" s="12" t="s">
        <v>632</v>
      </c>
      <c r="B1047" s="12" t="s">
        <v>40</v>
      </c>
      <c r="D1047" s="4" t="s">
        <v>60</v>
      </c>
      <c r="E1047" s="5">
        <f>SUM(E1043:E1045)*B3799</f>
        <v>0</v>
      </c>
    </row>
    <row r="1048" spans="1:5" hidden="1" x14ac:dyDescent="0.25">
      <c r="B1048" s="12"/>
    </row>
    <row r="1049" spans="1:5" hidden="1" x14ac:dyDescent="0.25">
      <c r="A1049" s="6" t="s">
        <v>394</v>
      </c>
      <c r="B1049" s="12"/>
      <c r="E1049" s="5">
        <f>SUM(E1042:E1047)</f>
        <v>0</v>
      </c>
    </row>
    <row r="1050" spans="1:5" hidden="1" x14ac:dyDescent="0.25">
      <c r="B1050" s="12"/>
    </row>
    <row r="1052" spans="1:5" x14ac:dyDescent="0.25">
      <c r="A1052" s="6" t="s">
        <v>635</v>
      </c>
    </row>
    <row r="1053" spans="1:5" x14ac:dyDescent="0.25">
      <c r="A1053" s="6" t="s">
        <v>12</v>
      </c>
    </row>
    <row r="1054" spans="1:5" x14ac:dyDescent="0.25">
      <c r="A1054" s="6" t="s">
        <v>636</v>
      </c>
      <c r="B1054" s="6" t="s">
        <v>14</v>
      </c>
      <c r="D1054" s="4" t="s">
        <v>15</v>
      </c>
      <c r="E1054" s="5">
        <v>83134</v>
      </c>
    </row>
    <row r="1055" spans="1:5" x14ac:dyDescent="0.25">
      <c r="A1055" s="6" t="s">
        <v>636</v>
      </c>
      <c r="B1055" s="11" t="s">
        <v>25</v>
      </c>
      <c r="D1055" s="4" t="s">
        <v>58</v>
      </c>
      <c r="E1055" s="5">
        <f>350+400</f>
        <v>750</v>
      </c>
    </row>
    <row r="1056" spans="1:5" x14ac:dyDescent="0.25">
      <c r="A1056" s="6" t="s">
        <v>636</v>
      </c>
      <c r="B1056" s="6" t="s">
        <v>36</v>
      </c>
      <c r="D1056" s="4" t="s">
        <v>157</v>
      </c>
      <c r="E1056" s="5">
        <f>750+3000+250+4800</f>
        <v>8800</v>
      </c>
    </row>
    <row r="1057" spans="1:5" x14ac:dyDescent="0.25">
      <c r="A1057" s="6" t="s">
        <v>636</v>
      </c>
      <c r="B1057" s="6" t="s">
        <v>17</v>
      </c>
      <c r="D1057" s="4" t="s">
        <v>18</v>
      </c>
      <c r="E1057" s="5">
        <f>SUM(E1054:E1056)*B3801</f>
        <v>5746.4080000000004</v>
      </c>
    </row>
    <row r="1058" spans="1:5" x14ac:dyDescent="0.25">
      <c r="A1058" s="6" t="s">
        <v>636</v>
      </c>
      <c r="B1058" s="6" t="s">
        <v>19</v>
      </c>
      <c r="D1058" s="4" t="s">
        <v>20</v>
      </c>
      <c r="E1058" s="5">
        <f>SUM(E1054:E1056)*B3802</f>
        <v>1343.9180000000001</v>
      </c>
    </row>
    <row r="1059" spans="1:5" x14ac:dyDescent="0.25">
      <c r="A1059" s="6" t="s">
        <v>636</v>
      </c>
      <c r="B1059" s="6" t="s">
        <v>21</v>
      </c>
      <c r="D1059" s="4" t="s">
        <v>22</v>
      </c>
      <c r="E1059" s="5">
        <f>SUM(E1054:E1056)*B3803</f>
        <v>21632.445599999999</v>
      </c>
    </row>
    <row r="1060" spans="1:5" x14ac:dyDescent="0.25">
      <c r="A1060" s="6" t="s">
        <v>636</v>
      </c>
      <c r="B1060" s="11" t="s">
        <v>159</v>
      </c>
      <c r="D1060" s="4" t="s">
        <v>371</v>
      </c>
      <c r="E1060" s="5">
        <v>0</v>
      </c>
    </row>
    <row r="1061" spans="1:5" x14ac:dyDescent="0.25">
      <c r="A1061" s="6" t="s">
        <v>636</v>
      </c>
      <c r="B1061" s="11" t="s">
        <v>44</v>
      </c>
      <c r="D1061" s="4" t="s">
        <v>45</v>
      </c>
      <c r="E1061" s="5">
        <v>2000</v>
      </c>
    </row>
    <row r="1062" spans="1:5" x14ac:dyDescent="0.25">
      <c r="A1062" s="6" t="s">
        <v>636</v>
      </c>
      <c r="B1062" s="6" t="s">
        <v>161</v>
      </c>
      <c r="D1062" s="4" t="s">
        <v>162</v>
      </c>
      <c r="E1062" s="5">
        <f>8500-2100</f>
        <v>6400</v>
      </c>
    </row>
    <row r="1063" spans="1:5" x14ac:dyDescent="0.25">
      <c r="A1063" s="6" t="s">
        <v>636</v>
      </c>
      <c r="B1063" s="6" t="s">
        <v>165</v>
      </c>
      <c r="D1063" s="4" t="s">
        <v>550</v>
      </c>
      <c r="E1063" s="5">
        <v>0</v>
      </c>
    </row>
    <row r="1064" spans="1:5" x14ac:dyDescent="0.25">
      <c r="A1064" s="6" t="s">
        <v>636</v>
      </c>
      <c r="B1064" s="6" t="s">
        <v>167</v>
      </c>
      <c r="D1064" s="4" t="s">
        <v>537</v>
      </c>
      <c r="E1064" s="5">
        <v>2200</v>
      </c>
    </row>
    <row r="1065" spans="1:5" x14ac:dyDescent="0.25">
      <c r="A1065" s="6" t="s">
        <v>636</v>
      </c>
      <c r="B1065" s="11" t="s">
        <v>169</v>
      </c>
      <c r="D1065" s="4" t="s">
        <v>170</v>
      </c>
      <c r="E1065" s="5">
        <v>3500</v>
      </c>
    </row>
    <row r="1066" spans="1:5" x14ac:dyDescent="0.25">
      <c r="A1066" s="6" t="s">
        <v>636</v>
      </c>
      <c r="B1066" s="11" t="s">
        <v>171</v>
      </c>
      <c r="D1066" s="4" t="s">
        <v>172</v>
      </c>
      <c r="E1066" s="5">
        <v>10000</v>
      </c>
    </row>
    <row r="1067" spans="1:5" x14ac:dyDescent="0.25">
      <c r="A1067" s="6" t="s">
        <v>636</v>
      </c>
      <c r="B1067" s="11" t="s">
        <v>173</v>
      </c>
      <c r="D1067" s="4" t="s">
        <v>589</v>
      </c>
      <c r="E1067" s="5">
        <v>10000</v>
      </c>
    </row>
    <row r="1068" spans="1:5" x14ac:dyDescent="0.25">
      <c r="A1068" s="6" t="s">
        <v>636</v>
      </c>
      <c r="B1068" s="11" t="s">
        <v>542</v>
      </c>
      <c r="D1068" s="4" t="s">
        <v>637</v>
      </c>
      <c r="E1068" s="5">
        <v>250</v>
      </c>
    </row>
    <row r="1069" spans="1:5" x14ac:dyDescent="0.25">
      <c r="A1069" s="6" t="s">
        <v>636</v>
      </c>
      <c r="B1069" s="6" t="s">
        <v>46</v>
      </c>
      <c r="D1069" s="4" t="s">
        <v>47</v>
      </c>
      <c r="E1069" s="5">
        <v>12000</v>
      </c>
    </row>
    <row r="1070" spans="1:5" x14ac:dyDescent="0.25">
      <c r="A1070" s="6" t="s">
        <v>636</v>
      </c>
      <c r="B1070" s="6" t="s">
        <v>177</v>
      </c>
      <c r="D1070" s="4" t="s">
        <v>178</v>
      </c>
      <c r="E1070" s="5">
        <f>9000+300</f>
        <v>9300</v>
      </c>
    </row>
    <row r="1071" spans="1:5" x14ac:dyDescent="0.25">
      <c r="A1071" s="6" t="s">
        <v>636</v>
      </c>
      <c r="B1071" s="6" t="s">
        <v>179</v>
      </c>
      <c r="D1071" s="4" t="s">
        <v>180</v>
      </c>
      <c r="E1071" s="5">
        <f>22000+1800</f>
        <v>23800</v>
      </c>
    </row>
    <row r="1072" spans="1:5" x14ac:dyDescent="0.25">
      <c r="A1072" s="6" t="s">
        <v>636</v>
      </c>
      <c r="B1072" s="11" t="s">
        <v>544</v>
      </c>
      <c r="D1072" s="4" t="s">
        <v>545</v>
      </c>
      <c r="E1072" s="5">
        <v>250</v>
      </c>
    </row>
    <row r="1073" spans="1:5" x14ac:dyDescent="0.25">
      <c r="A1073" s="6" t="s">
        <v>636</v>
      </c>
      <c r="B1073" s="11" t="s">
        <v>112</v>
      </c>
      <c r="D1073" s="4" t="s">
        <v>297</v>
      </c>
      <c r="E1073" s="5">
        <v>0</v>
      </c>
    </row>
    <row r="1074" spans="1:5" x14ac:dyDescent="0.25">
      <c r="A1074" s="6" t="s">
        <v>636</v>
      </c>
      <c r="B1074" s="11" t="s">
        <v>131</v>
      </c>
      <c r="D1074" s="4" t="s">
        <v>132</v>
      </c>
      <c r="E1074" s="5">
        <f>4000-1000</f>
        <v>3000</v>
      </c>
    </row>
    <row r="1075" spans="1:5" x14ac:dyDescent="0.25">
      <c r="A1075" s="6" t="s">
        <v>636</v>
      </c>
      <c r="B1075" s="6" t="s">
        <v>192</v>
      </c>
      <c r="D1075" s="4" t="s">
        <v>546</v>
      </c>
      <c r="E1075" s="5">
        <v>600</v>
      </c>
    </row>
    <row r="1077" spans="1:5" x14ac:dyDescent="0.25">
      <c r="A1077" s="6" t="s">
        <v>638</v>
      </c>
      <c r="B1077" s="6" t="s">
        <v>4</v>
      </c>
      <c r="C1077" s="6" t="s">
        <v>4</v>
      </c>
      <c r="D1077" s="4" t="s">
        <v>4</v>
      </c>
      <c r="E1077" s="5">
        <f>SUM(E1054:E1075)</f>
        <v>204706.77160000001</v>
      </c>
    </row>
    <row r="1079" spans="1:5" x14ac:dyDescent="0.25">
      <c r="A1079" s="6" t="s">
        <v>639</v>
      </c>
    </row>
    <row r="1080" spans="1:5" x14ac:dyDescent="0.25">
      <c r="A1080" s="6" t="s">
        <v>12</v>
      </c>
    </row>
    <row r="1081" spans="1:5" x14ac:dyDescent="0.25">
      <c r="A1081" s="6" t="s">
        <v>640</v>
      </c>
      <c r="B1081" s="6" t="s">
        <v>165</v>
      </c>
      <c r="D1081" s="4" t="s">
        <v>550</v>
      </c>
      <c r="E1081" s="5">
        <v>4300</v>
      </c>
    </row>
    <row r="1083" spans="1:5" x14ac:dyDescent="0.25">
      <c r="A1083" s="6" t="s">
        <v>641</v>
      </c>
      <c r="B1083" s="6" t="s">
        <v>4</v>
      </c>
      <c r="C1083" s="6" t="s">
        <v>4</v>
      </c>
      <c r="D1083" s="4" t="s">
        <v>4</v>
      </c>
      <c r="E1083" s="5">
        <f>E1081</f>
        <v>4300</v>
      </c>
    </row>
    <row r="1085" spans="1:5" x14ac:dyDescent="0.25">
      <c r="A1085" s="6" t="s">
        <v>642</v>
      </c>
    </row>
    <row r="1086" spans="1:5" x14ac:dyDescent="0.25">
      <c r="A1086" s="6" t="s">
        <v>12</v>
      </c>
    </row>
    <row r="1087" spans="1:5" x14ac:dyDescent="0.25">
      <c r="A1087" s="6" t="s">
        <v>643</v>
      </c>
      <c r="B1087" s="6" t="s">
        <v>159</v>
      </c>
      <c r="D1087" s="4" t="s">
        <v>160</v>
      </c>
      <c r="E1087" s="5">
        <f>1500+150</f>
        <v>1650</v>
      </c>
    </row>
    <row r="1089" spans="1:6" x14ac:dyDescent="0.25">
      <c r="A1089" s="6" t="s">
        <v>644</v>
      </c>
      <c r="B1089" s="6" t="s">
        <v>4</v>
      </c>
      <c r="C1089" s="6" t="s">
        <v>4</v>
      </c>
      <c r="D1089" s="4" t="s">
        <v>4</v>
      </c>
      <c r="E1089" s="5">
        <f>E1087</f>
        <v>1650</v>
      </c>
    </row>
    <row r="1090" spans="1:6" x14ac:dyDescent="0.25">
      <c r="A1090" s="6"/>
      <c r="B1090" s="6"/>
      <c r="C1090" s="6"/>
    </row>
    <row r="1091" spans="1:6" x14ac:dyDescent="0.25">
      <c r="A1091" s="11" t="s">
        <v>645</v>
      </c>
      <c r="B1091" s="11" t="s">
        <v>249</v>
      </c>
      <c r="C1091" s="6"/>
      <c r="D1091" s="4" t="s">
        <v>250</v>
      </c>
      <c r="E1091" s="5">
        <v>2000</v>
      </c>
    </row>
    <row r="1092" spans="1:6" x14ac:dyDescent="0.25">
      <c r="A1092" s="11" t="s">
        <v>645</v>
      </c>
      <c r="B1092" s="6" t="s">
        <v>14</v>
      </c>
      <c r="D1092" s="4" t="s">
        <v>15</v>
      </c>
      <c r="E1092" s="5">
        <v>26996</v>
      </c>
    </row>
    <row r="1093" spans="1:6" x14ac:dyDescent="0.25">
      <c r="A1093" s="11" t="s">
        <v>645</v>
      </c>
      <c r="B1093" s="6" t="s">
        <v>17</v>
      </c>
      <c r="D1093" s="4" t="s">
        <v>18</v>
      </c>
      <c r="E1093" s="5">
        <f>E1092*B3801</f>
        <v>1673.752</v>
      </c>
    </row>
    <row r="1094" spans="1:6" x14ac:dyDescent="0.25">
      <c r="A1094" s="11" t="s">
        <v>645</v>
      </c>
      <c r="B1094" s="6" t="s">
        <v>19</v>
      </c>
      <c r="D1094" s="4" t="s">
        <v>20</v>
      </c>
      <c r="E1094" s="5">
        <f>E1092+E1091*B3802</f>
        <v>27025</v>
      </c>
    </row>
    <row r="1095" spans="1:6" x14ac:dyDescent="0.25">
      <c r="A1095" s="11" t="s">
        <v>645</v>
      </c>
      <c r="B1095" s="6" t="s">
        <v>21</v>
      </c>
      <c r="D1095" s="4" t="s">
        <v>22</v>
      </c>
      <c r="E1095" s="5">
        <f>E1092+E1091*B3803</f>
        <v>27462.799999999999</v>
      </c>
    </row>
    <row r="1096" spans="1:6" x14ac:dyDescent="0.25">
      <c r="A1096" s="6"/>
      <c r="B1096" s="6"/>
      <c r="C1096" s="6"/>
    </row>
    <row r="1097" spans="1:6" x14ac:dyDescent="0.25">
      <c r="A1097" s="6" t="s">
        <v>394</v>
      </c>
      <c r="B1097" s="6"/>
      <c r="C1097" s="6"/>
      <c r="E1097" s="5">
        <f>SUM(E1091:E1095)</f>
        <v>85157.551999999996</v>
      </c>
    </row>
    <row r="1098" spans="1:6" x14ac:dyDescent="0.25">
      <c r="A1098" s="6"/>
      <c r="B1098" s="6"/>
      <c r="C1098" s="6"/>
    </row>
    <row r="1099" spans="1:6" x14ac:dyDescent="0.25">
      <c r="A1099" s="6" t="s">
        <v>646</v>
      </c>
      <c r="B1099" s="6"/>
      <c r="C1099" s="6"/>
    </row>
    <row r="1100" spans="1:6" x14ac:dyDescent="0.25">
      <c r="A1100" s="6"/>
      <c r="B1100" s="6"/>
      <c r="C1100" s="6"/>
    </row>
    <row r="1101" spans="1:6" x14ac:dyDescent="0.25">
      <c r="A1101" s="11" t="s">
        <v>647</v>
      </c>
      <c r="B1101" s="11" t="s">
        <v>25</v>
      </c>
      <c r="C1101" s="6"/>
      <c r="D1101" s="4" t="s">
        <v>58</v>
      </c>
      <c r="E1101" s="5">
        <v>2000</v>
      </c>
    </row>
    <row r="1102" spans="1:6" x14ac:dyDescent="0.25">
      <c r="A1102" s="11" t="s">
        <v>647</v>
      </c>
      <c r="B1102" s="11" t="s">
        <v>648</v>
      </c>
      <c r="C1102" s="6"/>
      <c r="D1102" s="4" t="s">
        <v>58</v>
      </c>
      <c r="E1102" s="5">
        <f>5*15*34</f>
        <v>2550</v>
      </c>
      <c r="F1102" s="4" t="s">
        <v>649</v>
      </c>
    </row>
    <row r="1103" spans="1:6" x14ac:dyDescent="0.25">
      <c r="A1103" s="11" t="s">
        <v>647</v>
      </c>
      <c r="B1103" s="11" t="s">
        <v>17</v>
      </c>
      <c r="C1103" s="6"/>
      <c r="D1103" s="4" t="s">
        <v>18</v>
      </c>
      <c r="E1103" s="5">
        <f>SUM(E1101+E1102)*B3801</f>
        <v>282.10000000000002</v>
      </c>
    </row>
    <row r="1104" spans="1:6" x14ac:dyDescent="0.25">
      <c r="A1104" s="11" t="s">
        <v>647</v>
      </c>
      <c r="B1104" s="11" t="s">
        <v>19</v>
      </c>
      <c r="C1104" s="6"/>
      <c r="D1104" s="4" t="s">
        <v>20</v>
      </c>
      <c r="E1104" s="5">
        <f>SUM(E1101+E1102)*B3802</f>
        <v>65.975000000000009</v>
      </c>
    </row>
    <row r="1105" spans="1:5" x14ac:dyDescent="0.25">
      <c r="A1105" s="11" t="s">
        <v>647</v>
      </c>
      <c r="B1105" s="11" t="s">
        <v>21</v>
      </c>
      <c r="C1105" s="6"/>
      <c r="D1105" s="4" t="s">
        <v>60</v>
      </c>
      <c r="E1105" s="5">
        <f>SUM(E1101+E1102)*B3803</f>
        <v>1061.97</v>
      </c>
    </row>
    <row r="1106" spans="1:5" x14ac:dyDescent="0.25">
      <c r="A1106" s="11"/>
      <c r="B1106" s="6"/>
      <c r="C1106" s="6"/>
    </row>
    <row r="1107" spans="1:5" x14ac:dyDescent="0.25">
      <c r="A1107" s="11" t="s">
        <v>650</v>
      </c>
      <c r="B1107" s="6"/>
      <c r="C1107" s="6"/>
      <c r="E1107" s="5">
        <f>SUM(E1101:E1105)</f>
        <v>5960.045000000001</v>
      </c>
    </row>
    <row r="1108" spans="1:5" x14ac:dyDescent="0.25">
      <c r="A1108" s="11"/>
      <c r="B1108" s="6"/>
      <c r="C1108" s="6"/>
    </row>
    <row r="1109" spans="1:5" x14ac:dyDescent="0.25">
      <c r="A1109" s="6"/>
      <c r="B1109" s="6"/>
      <c r="C1109" s="6"/>
    </row>
    <row r="1110" spans="1:5" x14ac:dyDescent="0.25">
      <c r="A1110" s="6" t="s">
        <v>651</v>
      </c>
    </row>
    <row r="1111" spans="1:5" x14ac:dyDescent="0.25">
      <c r="A1111" s="6" t="s">
        <v>12</v>
      </c>
    </row>
    <row r="1112" spans="1:5" x14ac:dyDescent="0.25">
      <c r="A1112" s="11" t="s">
        <v>652</v>
      </c>
      <c r="B1112" s="6" t="s">
        <v>53</v>
      </c>
      <c r="D1112" s="4" t="s">
        <v>54</v>
      </c>
      <c r="E1112" s="5">
        <v>70329</v>
      </c>
    </row>
    <row r="1113" spans="1:5" x14ac:dyDescent="0.25">
      <c r="A1113" s="11" t="s">
        <v>652</v>
      </c>
      <c r="B1113" s="6" t="s">
        <v>55</v>
      </c>
      <c r="D1113" s="4" t="s">
        <v>56</v>
      </c>
      <c r="E1113" s="5">
        <v>3802</v>
      </c>
    </row>
    <row r="1114" spans="1:5" x14ac:dyDescent="0.25">
      <c r="A1114" s="11" t="s">
        <v>652</v>
      </c>
      <c r="B1114" s="6" t="s">
        <v>32</v>
      </c>
      <c r="D1114" s="4" t="s">
        <v>33</v>
      </c>
      <c r="E1114" s="5">
        <v>0</v>
      </c>
    </row>
    <row r="1115" spans="1:5" x14ac:dyDescent="0.25">
      <c r="A1115" s="11" t="s">
        <v>652</v>
      </c>
      <c r="B1115" s="6" t="s">
        <v>19</v>
      </c>
      <c r="D1115" s="4" t="s">
        <v>20</v>
      </c>
      <c r="E1115" s="5">
        <f>SUM(E1112:E1114)*B3802</f>
        <v>1074.8995</v>
      </c>
    </row>
    <row r="1116" spans="1:5" x14ac:dyDescent="0.25">
      <c r="A1116" s="11" t="s">
        <v>652</v>
      </c>
      <c r="B1116" s="11" t="s">
        <v>40</v>
      </c>
      <c r="D1116" s="4" t="s">
        <v>60</v>
      </c>
      <c r="E1116" s="5">
        <f>SUM(E1112:E1114)*B3799</f>
        <v>2223.9299999999998</v>
      </c>
    </row>
    <row r="1117" spans="1:5" x14ac:dyDescent="0.25">
      <c r="A1117" s="6"/>
      <c r="B1117" s="6"/>
      <c r="C1117" s="6"/>
    </row>
    <row r="1118" spans="1:5" x14ac:dyDescent="0.25">
      <c r="A1118" s="6" t="s">
        <v>394</v>
      </c>
      <c r="B1118" s="6"/>
      <c r="C1118" s="6"/>
      <c r="E1118" s="5">
        <f>SUM(E1112:E1116)</f>
        <v>77429.829499999993</v>
      </c>
    </row>
    <row r="1119" spans="1:5" x14ac:dyDescent="0.25">
      <c r="A1119" s="6"/>
      <c r="B1119" s="6"/>
      <c r="C1119" s="6"/>
    </row>
    <row r="1120" spans="1:5" hidden="1" x14ac:dyDescent="0.25">
      <c r="A1120" s="6" t="s">
        <v>653</v>
      </c>
      <c r="B1120" s="6"/>
      <c r="C1120" s="6"/>
    </row>
    <row r="1121" spans="1:5" hidden="1" x14ac:dyDescent="0.25">
      <c r="A1121" s="6"/>
      <c r="B1121" s="6"/>
      <c r="C1121" s="6"/>
    </row>
    <row r="1122" spans="1:5" hidden="1" x14ac:dyDescent="0.25">
      <c r="A1122" s="11" t="s">
        <v>647</v>
      </c>
      <c r="B1122" s="11" t="s">
        <v>44</v>
      </c>
      <c r="C1122" s="6"/>
      <c r="D1122" s="4" t="s">
        <v>45</v>
      </c>
    </row>
    <row r="1123" spans="1:5" hidden="1" x14ac:dyDescent="0.25">
      <c r="A1123" s="11" t="s">
        <v>647</v>
      </c>
      <c r="B1123" s="11" t="s">
        <v>46</v>
      </c>
      <c r="C1123" s="6"/>
      <c r="D1123" s="4" t="s">
        <v>93</v>
      </c>
    </row>
    <row r="1124" spans="1:5" hidden="1" x14ac:dyDescent="0.25">
      <c r="A1124" s="11" t="s">
        <v>647</v>
      </c>
      <c r="B1124" s="11" t="s">
        <v>94</v>
      </c>
      <c r="C1124" s="6"/>
      <c r="D1124" s="4" t="s">
        <v>95</v>
      </c>
      <c r="E1124" s="5">
        <v>0</v>
      </c>
    </row>
    <row r="1125" spans="1:5" hidden="1" x14ac:dyDescent="0.25">
      <c r="A1125" s="11" t="s">
        <v>647</v>
      </c>
      <c r="B1125" s="11" t="s">
        <v>78</v>
      </c>
      <c r="C1125" s="6"/>
      <c r="D1125" s="4" t="s">
        <v>620</v>
      </c>
      <c r="E1125" s="5">
        <v>0</v>
      </c>
    </row>
    <row r="1126" spans="1:5" hidden="1" x14ac:dyDescent="0.25">
      <c r="A1126" s="6"/>
      <c r="B1126" s="6"/>
      <c r="C1126" s="6"/>
    </row>
    <row r="1127" spans="1:5" hidden="1" x14ac:dyDescent="0.25">
      <c r="A1127" s="6" t="s">
        <v>394</v>
      </c>
      <c r="B1127" s="6"/>
      <c r="C1127" s="6"/>
      <c r="E1127" s="5">
        <f>SUM(E1122:E1125)</f>
        <v>0</v>
      </c>
    </row>
    <row r="1128" spans="1:5" hidden="1" x14ac:dyDescent="0.25">
      <c r="A1128" s="6"/>
      <c r="B1128" s="6"/>
      <c r="C1128" s="6"/>
    </row>
    <row r="1129" spans="1:5" hidden="1" x14ac:dyDescent="0.25">
      <c r="A1129" s="6"/>
      <c r="B1129" s="6"/>
      <c r="C1129" s="6"/>
    </row>
    <row r="1130" spans="1:5" hidden="1" x14ac:dyDescent="0.25">
      <c r="A1130" s="12" t="s">
        <v>654</v>
      </c>
    </row>
    <row r="1131" spans="1:5" hidden="1" x14ac:dyDescent="0.25">
      <c r="A1131" s="12" t="s">
        <v>655</v>
      </c>
      <c r="B1131" s="12" t="s">
        <v>53</v>
      </c>
      <c r="D1131" s="4" t="s">
        <v>54</v>
      </c>
      <c r="E1131" s="5">
        <v>0</v>
      </c>
    </row>
    <row r="1132" spans="1:5" hidden="1" x14ac:dyDescent="0.25">
      <c r="A1132" s="12" t="s">
        <v>655</v>
      </c>
      <c r="B1132" s="12" t="s">
        <v>55</v>
      </c>
      <c r="D1132" s="4" t="s">
        <v>56</v>
      </c>
      <c r="E1132" s="5">
        <f>5817-5817</f>
        <v>0</v>
      </c>
    </row>
    <row r="1133" spans="1:5" hidden="1" x14ac:dyDescent="0.25">
      <c r="A1133" s="12" t="s">
        <v>655</v>
      </c>
      <c r="B1133" s="12" t="s">
        <v>32</v>
      </c>
      <c r="D1133" s="4" t="s">
        <v>33</v>
      </c>
      <c r="E1133" s="5">
        <f>16562-16562</f>
        <v>0</v>
      </c>
    </row>
    <row r="1134" spans="1:5" hidden="1" x14ac:dyDescent="0.25">
      <c r="A1134" s="12" t="s">
        <v>655</v>
      </c>
      <c r="B1134" s="12" t="s">
        <v>19</v>
      </c>
      <c r="D1134" s="4" t="s">
        <v>20</v>
      </c>
      <c r="E1134" s="5">
        <f>SUM(E1131:E1133)*B3802</f>
        <v>0</v>
      </c>
    </row>
    <row r="1135" spans="1:5" hidden="1" x14ac:dyDescent="0.25">
      <c r="A1135" s="12" t="s">
        <v>655</v>
      </c>
      <c r="B1135" s="12" t="s">
        <v>40</v>
      </c>
      <c r="D1135" s="4" t="s">
        <v>60</v>
      </c>
      <c r="E1135" s="5">
        <f>SUM(E1131:E1133)*B3799</f>
        <v>0</v>
      </c>
    </row>
    <row r="1136" spans="1:5" hidden="1" x14ac:dyDescent="0.25">
      <c r="B1136" s="12"/>
    </row>
    <row r="1137" spans="1:5" hidden="1" x14ac:dyDescent="0.25">
      <c r="A1137" s="6" t="s">
        <v>394</v>
      </c>
      <c r="B1137" s="12"/>
      <c r="E1137" s="5">
        <f>SUM(E1131:E1135)</f>
        <v>0</v>
      </c>
    </row>
    <row r="1138" spans="1:5" hidden="1" x14ac:dyDescent="0.25">
      <c r="A1138" s="6"/>
      <c r="B1138" s="6"/>
      <c r="C1138" s="6"/>
    </row>
    <row r="1139" spans="1:5" hidden="1" x14ac:dyDescent="0.25">
      <c r="A1139" s="6"/>
      <c r="B1139" s="6"/>
      <c r="C1139" s="6"/>
    </row>
    <row r="1140" spans="1:5" hidden="1" x14ac:dyDescent="0.25">
      <c r="A1140" s="6"/>
      <c r="B1140" s="6"/>
      <c r="C1140" s="6"/>
    </row>
    <row r="1141" spans="1:5" x14ac:dyDescent="0.25">
      <c r="A1141" s="6" t="s">
        <v>656</v>
      </c>
    </row>
    <row r="1142" spans="1:5" x14ac:dyDescent="0.25">
      <c r="A1142" s="6" t="s">
        <v>12</v>
      </c>
    </row>
    <row r="1143" spans="1:5" x14ac:dyDescent="0.25">
      <c r="A1143" s="6" t="s">
        <v>657</v>
      </c>
      <c r="B1143" s="6" t="s">
        <v>53</v>
      </c>
      <c r="D1143" s="4" t="s">
        <v>54</v>
      </c>
      <c r="E1143" s="5">
        <v>226377</v>
      </c>
    </row>
    <row r="1144" spans="1:5" x14ac:dyDescent="0.25">
      <c r="A1144" s="6" t="s">
        <v>657</v>
      </c>
      <c r="B1144" s="6" t="s">
        <v>55</v>
      </c>
      <c r="D1144" s="4" t="s">
        <v>56</v>
      </c>
      <c r="E1144" s="5">
        <v>23292</v>
      </c>
    </row>
    <row r="1145" spans="1:5" x14ac:dyDescent="0.25">
      <c r="A1145" s="6" t="s">
        <v>657</v>
      </c>
      <c r="B1145" s="6" t="s">
        <v>32</v>
      </c>
      <c r="D1145" s="4" t="s">
        <v>33</v>
      </c>
      <c r="E1145" s="5">
        <v>21282</v>
      </c>
    </row>
    <row r="1146" spans="1:5" x14ac:dyDescent="0.25">
      <c r="A1146" s="6" t="s">
        <v>657</v>
      </c>
      <c r="B1146" s="6" t="s">
        <v>14</v>
      </c>
      <c r="D1146" s="4" t="s">
        <v>15</v>
      </c>
      <c r="E1146" s="5">
        <v>140928</v>
      </c>
    </row>
    <row r="1147" spans="1:5" x14ac:dyDescent="0.25">
      <c r="A1147" s="6" t="s">
        <v>657</v>
      </c>
      <c r="B1147" s="6" t="s">
        <v>17</v>
      </c>
      <c r="D1147" s="4" t="s">
        <v>18</v>
      </c>
      <c r="E1147" s="5">
        <f>E1146*B3801</f>
        <v>8737.5360000000001</v>
      </c>
    </row>
    <row r="1148" spans="1:5" x14ac:dyDescent="0.25">
      <c r="A1148" s="6" t="s">
        <v>657</v>
      </c>
      <c r="B1148" s="6" t="s">
        <v>19</v>
      </c>
      <c r="D1148" s="4" t="s">
        <v>20</v>
      </c>
      <c r="E1148" s="5">
        <f>SUM(E1143:E1146)*B3802</f>
        <v>5972.2455</v>
      </c>
    </row>
    <row r="1149" spans="1:5" x14ac:dyDescent="0.25">
      <c r="A1149" s="6" t="s">
        <v>657</v>
      </c>
      <c r="B1149" s="11" t="s">
        <v>40</v>
      </c>
      <c r="D1149" s="4" t="s">
        <v>60</v>
      </c>
      <c r="E1149" s="5">
        <f>SUM(E1143:E1145)*B3799</f>
        <v>8128.53</v>
      </c>
    </row>
    <row r="1150" spans="1:5" x14ac:dyDescent="0.25">
      <c r="A1150" s="6" t="s">
        <v>657</v>
      </c>
      <c r="B1150" s="6" t="s">
        <v>21</v>
      </c>
      <c r="D1150" s="4" t="s">
        <v>22</v>
      </c>
      <c r="E1150" s="5">
        <f>E1146*B3803</f>
        <v>32892.595199999996</v>
      </c>
    </row>
    <row r="1151" spans="1:5" x14ac:dyDescent="0.25">
      <c r="A1151" s="6" t="s">
        <v>657</v>
      </c>
      <c r="B1151" s="6" t="s">
        <v>171</v>
      </c>
      <c r="D1151" s="4" t="s">
        <v>516</v>
      </c>
      <c r="E1151" s="5">
        <v>0</v>
      </c>
    </row>
    <row r="1152" spans="1:5" x14ac:dyDescent="0.25">
      <c r="A1152" s="6" t="s">
        <v>657</v>
      </c>
      <c r="B1152" s="11" t="s">
        <v>88</v>
      </c>
      <c r="D1152" s="4" t="s">
        <v>89</v>
      </c>
      <c r="E1152" s="5">
        <v>300</v>
      </c>
    </row>
    <row r="1153" spans="1:5" x14ac:dyDescent="0.25">
      <c r="A1153" s="6" t="s">
        <v>657</v>
      </c>
      <c r="B1153" s="6" t="s">
        <v>70</v>
      </c>
      <c r="D1153" s="4" t="s">
        <v>658</v>
      </c>
      <c r="E1153" s="5">
        <v>275</v>
      </c>
    </row>
    <row r="1154" spans="1:5" x14ac:dyDescent="0.25">
      <c r="A1154" s="6" t="s">
        <v>657</v>
      </c>
      <c r="B1154" s="6" t="s">
        <v>46</v>
      </c>
      <c r="D1154" s="4" t="s">
        <v>47</v>
      </c>
      <c r="E1154" s="5">
        <f>3500-100</f>
        <v>3400</v>
      </c>
    </row>
    <row r="1155" spans="1:5" x14ac:dyDescent="0.25">
      <c r="A1155" s="6" t="s">
        <v>657</v>
      </c>
      <c r="B1155" s="6" t="s">
        <v>337</v>
      </c>
      <c r="D1155" s="4" t="s">
        <v>659</v>
      </c>
      <c r="E1155" s="5">
        <v>1000</v>
      </c>
    </row>
    <row r="1156" spans="1:5" x14ac:dyDescent="0.25">
      <c r="A1156" s="6" t="s">
        <v>657</v>
      </c>
      <c r="B1156" s="11" t="s">
        <v>131</v>
      </c>
      <c r="D1156" s="4" t="s">
        <v>660</v>
      </c>
      <c r="E1156" s="5">
        <v>250</v>
      </c>
    </row>
    <row r="1158" spans="1:5" x14ac:dyDescent="0.25">
      <c r="A1158" s="6" t="s">
        <v>661</v>
      </c>
      <c r="B1158" s="6" t="s">
        <v>4</v>
      </c>
      <c r="C1158" s="6" t="s">
        <v>4</v>
      </c>
      <c r="D1158" s="4" t="s">
        <v>4</v>
      </c>
      <c r="E1158" s="5">
        <f>SUM(E1143:E1156)</f>
        <v>472834.90670000005</v>
      </c>
    </row>
    <row r="1160" spans="1:5" x14ac:dyDescent="0.25">
      <c r="A1160" s="6" t="s">
        <v>662</v>
      </c>
    </row>
    <row r="1161" spans="1:5" x14ac:dyDescent="0.25">
      <c r="A1161" s="6" t="s">
        <v>12</v>
      </c>
    </row>
    <row r="1162" spans="1:5" x14ac:dyDescent="0.25">
      <c r="A1162" s="6" t="s">
        <v>663</v>
      </c>
      <c r="B1162" s="12" t="s">
        <v>44</v>
      </c>
      <c r="D1162" s="4" t="s">
        <v>45</v>
      </c>
      <c r="E1162" s="5">
        <v>2000</v>
      </c>
    </row>
    <row r="1163" spans="1:5" x14ac:dyDescent="0.25">
      <c r="A1163" s="6" t="s">
        <v>663</v>
      </c>
      <c r="B1163" s="6" t="s">
        <v>161</v>
      </c>
      <c r="D1163" s="4" t="s">
        <v>162</v>
      </c>
      <c r="E1163" s="5">
        <v>1000</v>
      </c>
    </row>
    <row r="1164" spans="1:5" x14ac:dyDescent="0.25">
      <c r="A1164" s="6" t="s">
        <v>663</v>
      </c>
      <c r="B1164" s="6" t="s">
        <v>165</v>
      </c>
      <c r="D1164" s="4" t="s">
        <v>550</v>
      </c>
      <c r="E1164" s="5">
        <f>2200-2200</f>
        <v>0</v>
      </c>
    </row>
    <row r="1165" spans="1:5" x14ac:dyDescent="0.25">
      <c r="A1165" s="6" t="s">
        <v>663</v>
      </c>
      <c r="B1165" s="6" t="s">
        <v>167</v>
      </c>
      <c r="D1165" s="4" t="s">
        <v>537</v>
      </c>
      <c r="E1165" s="5">
        <v>500</v>
      </c>
    </row>
    <row r="1166" spans="1:5" x14ac:dyDescent="0.25">
      <c r="A1166" s="6" t="s">
        <v>663</v>
      </c>
      <c r="B1166" s="11" t="s">
        <v>169</v>
      </c>
      <c r="D1166" s="4" t="s">
        <v>516</v>
      </c>
      <c r="E1166" s="5">
        <v>2500</v>
      </c>
    </row>
    <row r="1167" spans="1:5" x14ac:dyDescent="0.25">
      <c r="A1167" s="6" t="s">
        <v>663</v>
      </c>
      <c r="B1167" s="11" t="s">
        <v>173</v>
      </c>
      <c r="D1167" s="4" t="s">
        <v>589</v>
      </c>
      <c r="E1167" s="5">
        <v>1500</v>
      </c>
    </row>
    <row r="1168" spans="1:5" x14ac:dyDescent="0.25">
      <c r="A1168" s="6" t="s">
        <v>663</v>
      </c>
      <c r="B1168" s="11" t="s">
        <v>385</v>
      </c>
      <c r="D1168" s="4" t="s">
        <v>560</v>
      </c>
      <c r="E1168" s="5">
        <v>0</v>
      </c>
    </row>
    <row r="1169" spans="1:6" x14ac:dyDescent="0.25">
      <c r="A1169" s="6" t="s">
        <v>663</v>
      </c>
      <c r="B1169" s="6" t="s">
        <v>46</v>
      </c>
      <c r="D1169" s="4" t="s">
        <v>47</v>
      </c>
      <c r="E1169" s="5">
        <v>1000</v>
      </c>
    </row>
    <row r="1170" spans="1:6" x14ac:dyDescent="0.25">
      <c r="A1170" s="6" t="s">
        <v>663</v>
      </c>
      <c r="B1170" s="6" t="s">
        <v>177</v>
      </c>
      <c r="D1170" s="4" t="s">
        <v>178</v>
      </c>
      <c r="E1170" s="5">
        <v>1200</v>
      </c>
    </row>
    <row r="1171" spans="1:6" x14ac:dyDescent="0.25">
      <c r="A1171" s="6" t="s">
        <v>663</v>
      </c>
      <c r="B1171" s="6" t="s">
        <v>179</v>
      </c>
      <c r="D1171" s="4" t="s">
        <v>180</v>
      </c>
      <c r="E1171" s="5">
        <v>1200</v>
      </c>
    </row>
    <row r="1172" spans="1:6" x14ac:dyDescent="0.25">
      <c r="A1172" s="6" t="s">
        <v>663</v>
      </c>
      <c r="B1172" s="11" t="s">
        <v>131</v>
      </c>
      <c r="D1172" s="4" t="s">
        <v>132</v>
      </c>
      <c r="E1172" s="5">
        <v>250</v>
      </c>
    </row>
    <row r="1174" spans="1:6" x14ac:dyDescent="0.25">
      <c r="A1174" s="6" t="s">
        <v>664</v>
      </c>
      <c r="B1174" s="6" t="s">
        <v>4</v>
      </c>
      <c r="C1174" s="6" t="s">
        <v>4</v>
      </c>
      <c r="D1174" s="4" t="s">
        <v>4</v>
      </c>
      <c r="E1174" s="5">
        <f>SUM(E1162:E1172)</f>
        <v>11150</v>
      </c>
      <c r="F1174" s="4" t="s">
        <v>665</v>
      </c>
    </row>
    <row r="1176" spans="1:6" hidden="1" x14ac:dyDescent="0.25">
      <c r="A1176" s="6" t="s">
        <v>666</v>
      </c>
    </row>
    <row r="1177" spans="1:6" hidden="1" x14ac:dyDescent="0.25">
      <c r="A1177" s="6" t="s">
        <v>12</v>
      </c>
    </row>
    <row r="1178" spans="1:6" hidden="1" x14ac:dyDescent="0.25">
      <c r="A1178" s="6" t="s">
        <v>667</v>
      </c>
      <c r="B1178" s="6" t="s">
        <v>165</v>
      </c>
      <c r="D1178" s="4" t="s">
        <v>550</v>
      </c>
      <c r="E1178" s="5">
        <f>500-500</f>
        <v>0</v>
      </c>
      <c r="F1178" s="4" t="s">
        <v>668</v>
      </c>
    </row>
    <row r="1179" spans="1:6" hidden="1" x14ac:dyDescent="0.25"/>
    <row r="1180" spans="1:6" hidden="1" x14ac:dyDescent="0.25">
      <c r="A1180" s="6" t="s">
        <v>669</v>
      </c>
      <c r="B1180" s="6" t="s">
        <v>4</v>
      </c>
      <c r="C1180" s="6" t="s">
        <v>4</v>
      </c>
      <c r="D1180" s="4" t="s">
        <v>4</v>
      </c>
      <c r="E1180" s="5">
        <f>E1178</f>
        <v>0</v>
      </c>
    </row>
    <row r="1181" spans="1:6" hidden="1" x14ac:dyDescent="0.25"/>
    <row r="1182" spans="1:6" hidden="1" x14ac:dyDescent="0.25">
      <c r="A1182" s="6" t="s">
        <v>670</v>
      </c>
    </row>
    <row r="1183" spans="1:6" hidden="1" x14ac:dyDescent="0.25">
      <c r="A1183" s="6" t="s">
        <v>12</v>
      </c>
    </row>
    <row r="1184" spans="1:6" hidden="1" x14ac:dyDescent="0.25">
      <c r="A1184" s="6" t="s">
        <v>671</v>
      </c>
      <c r="B1184" s="6" t="s">
        <v>159</v>
      </c>
      <c r="D1184" s="4" t="s">
        <v>160</v>
      </c>
      <c r="E1184" s="5">
        <f>300-300</f>
        <v>0</v>
      </c>
      <c r="F1184" s="4" t="s">
        <v>668</v>
      </c>
    </row>
    <row r="1185" spans="1:6" hidden="1" x14ac:dyDescent="0.25"/>
    <row r="1186" spans="1:6" hidden="1" x14ac:dyDescent="0.25">
      <c r="A1186" s="6" t="s">
        <v>672</v>
      </c>
      <c r="B1186" s="6" t="s">
        <v>4</v>
      </c>
      <c r="C1186" s="6" t="s">
        <v>4</v>
      </c>
      <c r="D1186" s="4" t="s">
        <v>4</v>
      </c>
      <c r="E1186" s="5">
        <f>E1184</f>
        <v>0</v>
      </c>
    </row>
    <row r="1187" spans="1:6" hidden="1" x14ac:dyDescent="0.25"/>
    <row r="1188" spans="1:6" hidden="1" x14ac:dyDescent="0.25">
      <c r="A1188" s="6" t="s">
        <v>673</v>
      </c>
    </row>
    <row r="1189" spans="1:6" hidden="1" x14ac:dyDescent="0.25">
      <c r="A1189" s="6" t="s">
        <v>12</v>
      </c>
    </row>
    <row r="1190" spans="1:6" hidden="1" x14ac:dyDescent="0.25">
      <c r="A1190" s="11" t="s">
        <v>674</v>
      </c>
      <c r="B1190" s="11" t="s">
        <v>53</v>
      </c>
      <c r="D1190" s="4" t="s">
        <v>54</v>
      </c>
      <c r="E1190" s="5">
        <f>35753+51003-86756</f>
        <v>0</v>
      </c>
    </row>
    <row r="1191" spans="1:6" hidden="1" x14ac:dyDescent="0.25">
      <c r="A1191" s="11" t="s">
        <v>674</v>
      </c>
      <c r="B1191" s="6" t="s">
        <v>55</v>
      </c>
      <c r="D1191" s="4" t="s">
        <v>56</v>
      </c>
      <c r="E1191" s="5">
        <f>3251-3251</f>
        <v>0</v>
      </c>
    </row>
    <row r="1192" spans="1:6" hidden="1" x14ac:dyDescent="0.25">
      <c r="A1192" s="11" t="s">
        <v>674</v>
      </c>
      <c r="B1192" s="6" t="s">
        <v>32</v>
      </c>
      <c r="D1192" s="4" t="s">
        <v>33</v>
      </c>
      <c r="E1192" s="5">
        <v>0</v>
      </c>
    </row>
    <row r="1193" spans="1:6" hidden="1" x14ac:dyDescent="0.25">
      <c r="A1193" s="11" t="s">
        <v>674</v>
      </c>
      <c r="B1193" s="6" t="s">
        <v>14</v>
      </c>
      <c r="D1193" s="4" t="s">
        <v>15</v>
      </c>
      <c r="E1193" s="5">
        <f>35353-35353</f>
        <v>0</v>
      </c>
    </row>
    <row r="1194" spans="1:6" hidden="1" x14ac:dyDescent="0.25">
      <c r="A1194" s="11" t="s">
        <v>674</v>
      </c>
      <c r="B1194" s="6" t="s">
        <v>17</v>
      </c>
      <c r="D1194" s="4" t="s">
        <v>18</v>
      </c>
      <c r="E1194" s="5">
        <f>E1193*B3801</f>
        <v>0</v>
      </c>
      <c r="F1194" s="4" t="s">
        <v>4</v>
      </c>
    </row>
    <row r="1195" spans="1:6" hidden="1" x14ac:dyDescent="0.25">
      <c r="A1195" s="11" t="s">
        <v>674</v>
      </c>
      <c r="B1195" s="6" t="s">
        <v>19</v>
      </c>
      <c r="D1195" s="4" t="s">
        <v>20</v>
      </c>
      <c r="E1195" s="5">
        <f>SUM(E1190:E1193)*B3802</f>
        <v>0</v>
      </c>
      <c r="F1195" s="4" t="s">
        <v>4</v>
      </c>
    </row>
    <row r="1196" spans="1:6" hidden="1" x14ac:dyDescent="0.25">
      <c r="A1196" s="11" t="s">
        <v>674</v>
      </c>
      <c r="B1196" s="11" t="s">
        <v>40</v>
      </c>
      <c r="D1196" s="4" t="s">
        <v>60</v>
      </c>
      <c r="E1196" s="5">
        <f>SUM(E1190:E1192)*B3799</f>
        <v>0</v>
      </c>
    </row>
    <row r="1197" spans="1:6" hidden="1" x14ac:dyDescent="0.25">
      <c r="A1197" s="11" t="s">
        <v>674</v>
      </c>
      <c r="B1197" s="6" t="s">
        <v>21</v>
      </c>
      <c r="D1197" s="4" t="s">
        <v>22</v>
      </c>
      <c r="E1197" s="5">
        <f>E1193*B3803</f>
        <v>0</v>
      </c>
      <c r="F1197" s="4" t="s">
        <v>4</v>
      </c>
    </row>
    <row r="1198" spans="1:6" hidden="1" x14ac:dyDescent="0.25"/>
    <row r="1199" spans="1:6" hidden="1" x14ac:dyDescent="0.25">
      <c r="A1199" s="6" t="s">
        <v>675</v>
      </c>
      <c r="B1199" s="6" t="s">
        <v>4</v>
      </c>
      <c r="C1199" s="6" t="s">
        <v>4</v>
      </c>
      <c r="D1199" s="4" t="s">
        <v>4</v>
      </c>
      <c r="E1199" s="5">
        <f>SUM(E1190:E1197)</f>
        <v>0</v>
      </c>
    </row>
    <row r="1200" spans="1:6" hidden="1" x14ac:dyDescent="0.25"/>
    <row r="1201" spans="1:5" hidden="1" x14ac:dyDescent="0.25">
      <c r="A1201" s="6" t="s">
        <v>676</v>
      </c>
    </row>
    <row r="1202" spans="1:5" hidden="1" x14ac:dyDescent="0.25">
      <c r="A1202" s="6" t="s">
        <v>12</v>
      </c>
    </row>
    <row r="1203" spans="1:5" hidden="1" x14ac:dyDescent="0.25">
      <c r="A1203" s="6" t="s">
        <v>677</v>
      </c>
      <c r="B1203" s="6" t="s">
        <v>53</v>
      </c>
      <c r="D1203" s="4" t="s">
        <v>54</v>
      </c>
      <c r="E1203" s="5">
        <v>0</v>
      </c>
    </row>
    <row r="1204" spans="1:5" hidden="1" x14ac:dyDescent="0.25">
      <c r="A1204" s="6" t="s">
        <v>677</v>
      </c>
      <c r="B1204" s="6" t="s">
        <v>55</v>
      </c>
      <c r="D1204" s="4" t="s">
        <v>56</v>
      </c>
      <c r="E1204" s="5">
        <v>0</v>
      </c>
    </row>
    <row r="1205" spans="1:5" hidden="1" x14ac:dyDescent="0.25">
      <c r="A1205" s="6" t="s">
        <v>677</v>
      </c>
      <c r="B1205" s="6" t="s">
        <v>32</v>
      </c>
      <c r="D1205" s="4" t="s">
        <v>33</v>
      </c>
      <c r="E1205" s="5">
        <v>0</v>
      </c>
    </row>
    <row r="1206" spans="1:5" hidden="1" x14ac:dyDescent="0.25">
      <c r="A1206" s="6" t="s">
        <v>677</v>
      </c>
      <c r="B1206" s="6" t="s">
        <v>19</v>
      </c>
      <c r="D1206" s="4" t="s">
        <v>20</v>
      </c>
      <c r="E1206" s="5">
        <f>SUM(E1203:E1205)*B3798</f>
        <v>0</v>
      </c>
    </row>
    <row r="1207" spans="1:5" hidden="1" x14ac:dyDescent="0.25">
      <c r="A1207" s="6" t="s">
        <v>677</v>
      </c>
      <c r="B1207" s="11" t="s">
        <v>40</v>
      </c>
      <c r="D1207" s="4" t="s">
        <v>60</v>
      </c>
      <c r="E1207" s="5">
        <f>SUM(E1203:E1205)*B3799</f>
        <v>0</v>
      </c>
    </row>
    <row r="1208" spans="1:5" hidden="1" x14ac:dyDescent="0.25"/>
    <row r="1209" spans="1:5" hidden="1" x14ac:dyDescent="0.25">
      <c r="A1209" s="6" t="s">
        <v>678</v>
      </c>
      <c r="B1209" s="6" t="s">
        <v>4</v>
      </c>
      <c r="C1209" s="6" t="s">
        <v>4</v>
      </c>
      <c r="D1209" s="4" t="s">
        <v>4</v>
      </c>
      <c r="E1209" s="5">
        <f>SUM(E1203:E1207)</f>
        <v>0</v>
      </c>
    </row>
    <row r="1210" spans="1:5" hidden="1" x14ac:dyDescent="0.25"/>
    <row r="1211" spans="1:5" x14ac:dyDescent="0.25">
      <c r="A1211" s="6" t="s">
        <v>679</v>
      </c>
    </row>
    <row r="1212" spans="1:5" x14ac:dyDescent="0.25">
      <c r="A1212" s="6" t="s">
        <v>12</v>
      </c>
    </row>
    <row r="1213" spans="1:5" x14ac:dyDescent="0.25">
      <c r="A1213" s="6" t="s">
        <v>680</v>
      </c>
      <c r="B1213" s="6" t="s">
        <v>53</v>
      </c>
      <c r="D1213" s="4" t="s">
        <v>54</v>
      </c>
      <c r="E1213" s="5">
        <v>0</v>
      </c>
    </row>
    <row r="1214" spans="1:5" x14ac:dyDescent="0.25">
      <c r="A1214" s="6" t="s">
        <v>680</v>
      </c>
      <c r="B1214" s="6" t="s">
        <v>55</v>
      </c>
      <c r="D1214" s="4" t="s">
        <v>56</v>
      </c>
      <c r="E1214" s="5">
        <v>0</v>
      </c>
    </row>
    <row r="1215" spans="1:5" x14ac:dyDescent="0.25">
      <c r="A1215" s="6" t="s">
        <v>680</v>
      </c>
      <c r="B1215" s="6" t="s">
        <v>32</v>
      </c>
      <c r="D1215" s="4" t="s">
        <v>33</v>
      </c>
      <c r="E1215" s="5">
        <v>2200</v>
      </c>
    </row>
    <row r="1216" spans="1:5" x14ac:dyDescent="0.25">
      <c r="A1216" s="6" t="s">
        <v>680</v>
      </c>
      <c r="B1216" s="6" t="s">
        <v>19</v>
      </c>
      <c r="D1216" s="4" t="s">
        <v>20</v>
      </c>
      <c r="E1216" s="5">
        <f>SUM(E1213:E1215)*B3798</f>
        <v>31.900000000000002</v>
      </c>
    </row>
    <row r="1217" spans="1:5" x14ac:dyDescent="0.25">
      <c r="A1217" s="6" t="s">
        <v>680</v>
      </c>
      <c r="B1217" s="11" t="s">
        <v>40</v>
      </c>
      <c r="D1217" s="4" t="s">
        <v>60</v>
      </c>
      <c r="E1217" s="5">
        <f>SUM(E1213:E1215)*B3799</f>
        <v>66</v>
      </c>
    </row>
    <row r="1218" spans="1:5" x14ac:dyDescent="0.25">
      <c r="A1218" s="6" t="s">
        <v>680</v>
      </c>
      <c r="B1218" s="11" t="s">
        <v>61</v>
      </c>
      <c r="D1218" s="4" t="s">
        <v>334</v>
      </c>
      <c r="E1218" s="5">
        <v>0</v>
      </c>
    </row>
    <row r="1219" spans="1:5" x14ac:dyDescent="0.25">
      <c r="A1219" s="6" t="s">
        <v>680</v>
      </c>
      <c r="B1219" s="11" t="s">
        <v>70</v>
      </c>
      <c r="D1219" s="4" t="s">
        <v>335</v>
      </c>
      <c r="E1219" s="5">
        <v>0</v>
      </c>
    </row>
    <row r="1221" spans="1:5" x14ac:dyDescent="0.25">
      <c r="A1221" s="6" t="s">
        <v>681</v>
      </c>
      <c r="E1221" s="5">
        <f>SUM(E1213:E1219)</f>
        <v>2297.9</v>
      </c>
    </row>
    <row r="1223" spans="1:5" x14ac:dyDescent="0.25">
      <c r="A1223" s="6" t="s">
        <v>682</v>
      </c>
    </row>
    <row r="1224" spans="1:5" x14ac:dyDescent="0.25">
      <c r="A1224" s="6" t="s">
        <v>12</v>
      </c>
    </row>
    <row r="1225" spans="1:5" x14ac:dyDescent="0.25">
      <c r="A1225" s="6" t="s">
        <v>683</v>
      </c>
      <c r="B1225" s="6" t="s">
        <v>53</v>
      </c>
      <c r="D1225" s="4" t="s">
        <v>54</v>
      </c>
      <c r="E1225" s="5">
        <v>57770</v>
      </c>
    </row>
    <row r="1226" spans="1:5" x14ac:dyDescent="0.25">
      <c r="A1226" s="6" t="s">
        <v>683</v>
      </c>
      <c r="B1226" s="6" t="s">
        <v>55</v>
      </c>
      <c r="D1226" s="4" t="s">
        <v>56</v>
      </c>
      <c r="E1226" s="5">
        <v>7807</v>
      </c>
    </row>
    <row r="1227" spans="1:5" x14ac:dyDescent="0.25">
      <c r="A1227" s="6" t="s">
        <v>683</v>
      </c>
      <c r="B1227" s="6" t="s">
        <v>32</v>
      </c>
      <c r="D1227" s="4" t="s">
        <v>33</v>
      </c>
      <c r="E1227" s="5">
        <v>6058</v>
      </c>
    </row>
    <row r="1228" spans="1:5" x14ac:dyDescent="0.25">
      <c r="A1228" s="6" t="s">
        <v>683</v>
      </c>
      <c r="B1228" s="6" t="s">
        <v>19</v>
      </c>
      <c r="D1228" s="4" t="s">
        <v>20</v>
      </c>
      <c r="E1228" s="5">
        <f>SUM(E1225:E1227)*B3798</f>
        <v>1038.7075</v>
      </c>
    </row>
    <row r="1229" spans="1:5" x14ac:dyDescent="0.25">
      <c r="A1229" s="6" t="s">
        <v>683</v>
      </c>
      <c r="B1229" s="11" t="s">
        <v>40</v>
      </c>
      <c r="D1229" s="4" t="s">
        <v>60</v>
      </c>
      <c r="E1229" s="5">
        <f>SUM(E1225:E1227)*B3799</f>
        <v>2149.0499999999997</v>
      </c>
    </row>
    <row r="1230" spans="1:5" x14ac:dyDescent="0.25">
      <c r="A1230" s="6" t="s">
        <v>683</v>
      </c>
      <c r="B1230" s="11" t="s">
        <v>61</v>
      </c>
      <c r="D1230" s="4" t="s">
        <v>334</v>
      </c>
      <c r="E1230" s="5">
        <f>300-100</f>
        <v>200</v>
      </c>
    </row>
    <row r="1231" spans="1:5" x14ac:dyDescent="0.25">
      <c r="A1231" s="6" t="s">
        <v>683</v>
      </c>
      <c r="B1231" s="11" t="s">
        <v>70</v>
      </c>
      <c r="D1231" s="4" t="s">
        <v>335</v>
      </c>
      <c r="E1231" s="5">
        <f>550+200-300</f>
        <v>450</v>
      </c>
    </row>
    <row r="1233" spans="1:5" x14ac:dyDescent="0.25">
      <c r="A1233" s="6" t="s">
        <v>684</v>
      </c>
      <c r="E1233" s="5">
        <f>SUM(E1225:E1231)</f>
        <v>75472.757500000007</v>
      </c>
    </row>
    <row r="1234" spans="1:5" x14ac:dyDescent="0.25">
      <c r="A1234" s="6"/>
    </row>
    <row r="1235" spans="1:5" x14ac:dyDescent="0.25">
      <c r="A1235" s="6" t="s">
        <v>685</v>
      </c>
    </row>
    <row r="1236" spans="1:5" x14ac:dyDescent="0.25">
      <c r="A1236" s="6" t="s">
        <v>12</v>
      </c>
    </row>
    <row r="1237" spans="1:5" x14ac:dyDescent="0.25">
      <c r="A1237" s="6"/>
    </row>
    <row r="1238" spans="1:5" x14ac:dyDescent="0.25">
      <c r="A1238" s="6" t="s">
        <v>686</v>
      </c>
      <c r="B1238" s="12" t="s">
        <v>14</v>
      </c>
      <c r="D1238" s="4" t="s">
        <v>15</v>
      </c>
      <c r="E1238" s="5">
        <f>19917-19917</f>
        <v>0</v>
      </c>
    </row>
    <row r="1239" spans="1:5" x14ac:dyDescent="0.25">
      <c r="A1239" s="6" t="s">
        <v>686</v>
      </c>
      <c r="B1239" s="12" t="s">
        <v>17</v>
      </c>
      <c r="D1239" s="4" t="s">
        <v>18</v>
      </c>
      <c r="E1239" s="5">
        <f>E1238*B3801</f>
        <v>0</v>
      </c>
    </row>
    <row r="1240" spans="1:5" x14ac:dyDescent="0.25">
      <c r="A1240" s="6" t="s">
        <v>686</v>
      </c>
      <c r="B1240" s="12" t="s">
        <v>19</v>
      </c>
      <c r="D1240" s="4" t="s">
        <v>20</v>
      </c>
      <c r="E1240" s="5">
        <f>E1238*B3802</f>
        <v>0</v>
      </c>
    </row>
    <row r="1241" spans="1:5" x14ac:dyDescent="0.25">
      <c r="A1241" s="6" t="s">
        <v>686</v>
      </c>
      <c r="B1241" s="12" t="s">
        <v>21</v>
      </c>
      <c r="D1241" s="4" t="s">
        <v>22</v>
      </c>
      <c r="E1241" s="5">
        <f>E1238*B3803</f>
        <v>0</v>
      </c>
    </row>
    <row r="1242" spans="1:5" x14ac:dyDescent="0.25">
      <c r="A1242" s="6" t="s">
        <v>686</v>
      </c>
      <c r="B1242" s="6" t="s">
        <v>46</v>
      </c>
      <c r="D1242" s="4" t="s">
        <v>47</v>
      </c>
      <c r="E1242" s="5">
        <f>500-350</f>
        <v>150</v>
      </c>
    </row>
    <row r="1244" spans="1:5" x14ac:dyDescent="0.25">
      <c r="A1244" s="6" t="s">
        <v>687</v>
      </c>
      <c r="B1244" s="6" t="s">
        <v>4</v>
      </c>
      <c r="C1244" s="6" t="s">
        <v>4</v>
      </c>
      <c r="D1244" s="4" t="s">
        <v>4</v>
      </c>
      <c r="E1244" s="5">
        <f>SUM(E1238:E1242)</f>
        <v>150</v>
      </c>
    </row>
    <row r="1246" spans="1:5" x14ac:dyDescent="0.25">
      <c r="A1246" s="6" t="s">
        <v>688</v>
      </c>
    </row>
    <row r="1247" spans="1:5" x14ac:dyDescent="0.25">
      <c r="A1247" s="6" t="s">
        <v>12</v>
      </c>
    </row>
    <row r="1248" spans="1:5" x14ac:dyDescent="0.25">
      <c r="A1248" s="6" t="s">
        <v>689</v>
      </c>
      <c r="B1248" s="6" t="s">
        <v>46</v>
      </c>
      <c r="D1248" s="4" t="s">
        <v>47</v>
      </c>
      <c r="E1248" s="5">
        <v>350</v>
      </c>
    </row>
    <row r="1249" spans="1:5" x14ac:dyDescent="0.25">
      <c r="A1249" s="6" t="s">
        <v>689</v>
      </c>
      <c r="B1249" s="6" t="s">
        <v>690</v>
      </c>
      <c r="D1249" s="4" t="s">
        <v>691</v>
      </c>
      <c r="E1249" s="5">
        <f>600-400</f>
        <v>200</v>
      </c>
    </row>
    <row r="1250" spans="1:5" x14ac:dyDescent="0.25">
      <c r="A1250" s="6" t="s">
        <v>689</v>
      </c>
      <c r="B1250" s="6" t="s">
        <v>498</v>
      </c>
      <c r="D1250" s="4" t="s">
        <v>499</v>
      </c>
      <c r="E1250" s="5">
        <f>400-200</f>
        <v>200</v>
      </c>
    </row>
    <row r="1251" spans="1:5" x14ac:dyDescent="0.25">
      <c r="A1251" s="6" t="s">
        <v>689</v>
      </c>
      <c r="B1251" s="6" t="s">
        <v>94</v>
      </c>
      <c r="D1251" s="4" t="s">
        <v>692</v>
      </c>
      <c r="E1251" s="5">
        <v>650</v>
      </c>
    </row>
    <row r="1253" spans="1:5" x14ac:dyDescent="0.25">
      <c r="A1253" s="6" t="s">
        <v>693</v>
      </c>
      <c r="B1253" s="6" t="s">
        <v>4</v>
      </c>
      <c r="C1253" s="6" t="s">
        <v>4</v>
      </c>
      <c r="D1253" s="4" t="s">
        <v>4</v>
      </c>
      <c r="E1253" s="5">
        <f>SUM(E1248:E1251)</f>
        <v>1400</v>
      </c>
    </row>
    <row r="1255" spans="1:5" x14ac:dyDescent="0.25">
      <c r="A1255" s="6" t="s">
        <v>694</v>
      </c>
    </row>
    <row r="1256" spans="1:5" x14ac:dyDescent="0.25">
      <c r="A1256" s="6" t="s">
        <v>12</v>
      </c>
    </row>
    <row r="1257" spans="1:5" x14ac:dyDescent="0.25">
      <c r="A1257" s="6" t="s">
        <v>695</v>
      </c>
      <c r="B1257" s="6" t="s">
        <v>53</v>
      </c>
      <c r="D1257" s="4" t="s">
        <v>54</v>
      </c>
      <c r="E1257" s="5">
        <v>154024</v>
      </c>
    </row>
    <row r="1258" spans="1:5" x14ac:dyDescent="0.25">
      <c r="A1258" s="6" t="s">
        <v>695</v>
      </c>
      <c r="B1258" s="6" t="s">
        <v>55</v>
      </c>
      <c r="D1258" s="4" t="s">
        <v>56</v>
      </c>
      <c r="E1258" s="5">
        <v>0</v>
      </c>
    </row>
    <row r="1259" spans="1:5" x14ac:dyDescent="0.25">
      <c r="A1259" s="6" t="s">
        <v>695</v>
      </c>
      <c r="B1259" s="6" t="s">
        <v>32</v>
      </c>
      <c r="D1259" s="4" t="s">
        <v>33</v>
      </c>
      <c r="E1259" s="5">
        <v>0</v>
      </c>
    </row>
    <row r="1260" spans="1:5" x14ac:dyDescent="0.25">
      <c r="A1260" s="6" t="s">
        <v>695</v>
      </c>
      <c r="B1260" s="6" t="s">
        <v>14</v>
      </c>
      <c r="D1260" s="4" t="s">
        <v>15</v>
      </c>
      <c r="E1260" s="5">
        <v>37347</v>
      </c>
    </row>
    <row r="1261" spans="1:5" x14ac:dyDescent="0.25">
      <c r="A1261" s="6" t="s">
        <v>695</v>
      </c>
      <c r="B1261" s="6" t="s">
        <v>17</v>
      </c>
      <c r="D1261" s="4" t="s">
        <v>18</v>
      </c>
      <c r="E1261" s="5">
        <f>E1260*B3801</f>
        <v>2315.5140000000001</v>
      </c>
    </row>
    <row r="1262" spans="1:5" x14ac:dyDescent="0.25">
      <c r="A1262" s="6" t="s">
        <v>695</v>
      </c>
      <c r="B1262" s="6" t="s">
        <v>19</v>
      </c>
      <c r="D1262" s="4" t="s">
        <v>20</v>
      </c>
      <c r="E1262" s="5">
        <f>SUM(E1257:E1260)*B3802</f>
        <v>2774.8795</v>
      </c>
    </row>
    <row r="1263" spans="1:5" x14ac:dyDescent="0.25">
      <c r="A1263" s="6" t="s">
        <v>695</v>
      </c>
      <c r="B1263" s="6" t="s">
        <v>40</v>
      </c>
      <c r="D1263" s="4" t="s">
        <v>60</v>
      </c>
      <c r="E1263" s="5">
        <f>SUM(E1257:E1259)*B3799</f>
        <v>4620.72</v>
      </c>
    </row>
    <row r="1264" spans="1:5" x14ac:dyDescent="0.25">
      <c r="A1264" s="6" t="s">
        <v>695</v>
      </c>
      <c r="B1264" s="6" t="s">
        <v>21</v>
      </c>
      <c r="D1264" s="4" t="s">
        <v>22</v>
      </c>
      <c r="E1264" s="5">
        <f>E1260*B3803</f>
        <v>8716.7898000000005</v>
      </c>
    </row>
    <row r="1265" spans="1:5" x14ac:dyDescent="0.25">
      <c r="A1265" s="6" t="s">
        <v>695</v>
      </c>
      <c r="B1265" s="11" t="s">
        <v>61</v>
      </c>
      <c r="D1265" s="4" t="s">
        <v>106</v>
      </c>
      <c r="E1265" s="5">
        <v>300</v>
      </c>
    </row>
    <row r="1266" spans="1:5" x14ac:dyDescent="0.25">
      <c r="A1266" s="6" t="s">
        <v>695</v>
      </c>
      <c r="B1266" s="6" t="s">
        <v>88</v>
      </c>
      <c r="D1266" s="4" t="s">
        <v>523</v>
      </c>
      <c r="E1266" s="5">
        <f>500-50-100</f>
        <v>350</v>
      </c>
    </row>
    <row r="1267" spans="1:5" x14ac:dyDescent="0.25">
      <c r="A1267" s="6" t="s">
        <v>695</v>
      </c>
      <c r="B1267" s="6" t="s">
        <v>66</v>
      </c>
      <c r="D1267" s="4" t="s">
        <v>67</v>
      </c>
      <c r="E1267" s="5">
        <v>1600</v>
      </c>
    </row>
    <row r="1268" spans="1:5" x14ac:dyDescent="0.25">
      <c r="A1268" s="6" t="s">
        <v>695</v>
      </c>
      <c r="B1268" s="6" t="s">
        <v>70</v>
      </c>
      <c r="D1268" s="4" t="s">
        <v>696</v>
      </c>
      <c r="E1268" s="5">
        <f>100+800</f>
        <v>900</v>
      </c>
    </row>
    <row r="1269" spans="1:5" x14ac:dyDescent="0.25">
      <c r="A1269" s="6" t="s">
        <v>695</v>
      </c>
      <c r="B1269" s="6" t="s">
        <v>46</v>
      </c>
      <c r="D1269" s="4" t="s">
        <v>47</v>
      </c>
      <c r="E1269" s="5">
        <f>350-350</f>
        <v>0</v>
      </c>
    </row>
    <row r="1271" spans="1:5" x14ac:dyDescent="0.25">
      <c r="A1271" s="6" t="s">
        <v>697</v>
      </c>
      <c r="B1271" s="6" t="s">
        <v>4</v>
      </c>
      <c r="C1271" s="6" t="s">
        <v>4</v>
      </c>
      <c r="D1271" s="4" t="s">
        <v>4</v>
      </c>
      <c r="E1271" s="5">
        <f>SUM(E1257:E1269)</f>
        <v>212948.90330000001</v>
      </c>
    </row>
    <row r="1273" spans="1:5" hidden="1" x14ac:dyDescent="0.25">
      <c r="A1273" s="6" t="s">
        <v>698</v>
      </c>
    </row>
    <row r="1274" spans="1:5" hidden="1" x14ac:dyDescent="0.25">
      <c r="A1274" s="6" t="s">
        <v>12</v>
      </c>
    </row>
    <row r="1275" spans="1:5" hidden="1" x14ac:dyDescent="0.25">
      <c r="A1275" s="6" t="s">
        <v>699</v>
      </c>
      <c r="B1275" s="6" t="s">
        <v>14</v>
      </c>
      <c r="D1275" s="4" t="s">
        <v>15</v>
      </c>
      <c r="E1275" s="5">
        <f>31007-31007</f>
        <v>0</v>
      </c>
    </row>
    <row r="1276" spans="1:5" hidden="1" x14ac:dyDescent="0.25">
      <c r="A1276" s="6" t="s">
        <v>699</v>
      </c>
      <c r="B1276" s="6" t="s">
        <v>36</v>
      </c>
      <c r="D1276" s="4" t="s">
        <v>157</v>
      </c>
      <c r="E1276" s="5">
        <f>750-750</f>
        <v>0</v>
      </c>
    </row>
    <row r="1277" spans="1:5" hidden="1" x14ac:dyDescent="0.25">
      <c r="A1277" s="6" t="s">
        <v>699</v>
      </c>
      <c r="B1277" s="6" t="s">
        <v>17</v>
      </c>
      <c r="D1277" s="4" t="s">
        <v>18</v>
      </c>
      <c r="E1277" s="5">
        <f>SUM(E1275:E1276)*B3801</f>
        <v>0</v>
      </c>
    </row>
    <row r="1278" spans="1:5" hidden="1" x14ac:dyDescent="0.25">
      <c r="A1278" s="6" t="s">
        <v>699</v>
      </c>
      <c r="B1278" s="6" t="s">
        <v>19</v>
      </c>
      <c r="D1278" s="4" t="s">
        <v>20</v>
      </c>
      <c r="E1278" s="5">
        <f>SUM(E1275:E1276)*B3802</f>
        <v>0</v>
      </c>
    </row>
    <row r="1279" spans="1:5" hidden="1" x14ac:dyDescent="0.25">
      <c r="A1279" s="6" t="s">
        <v>699</v>
      </c>
      <c r="B1279" s="6" t="s">
        <v>21</v>
      </c>
      <c r="D1279" s="4" t="s">
        <v>22</v>
      </c>
      <c r="E1279" s="5">
        <f>SUM(E1275:E1276)*B3803</f>
        <v>0</v>
      </c>
    </row>
    <row r="1280" spans="1:5" hidden="1" x14ac:dyDescent="0.25">
      <c r="A1280" s="6" t="s">
        <v>699</v>
      </c>
      <c r="B1280" s="11" t="s">
        <v>173</v>
      </c>
      <c r="D1280" s="4" t="s">
        <v>700</v>
      </c>
      <c r="E1280" s="5">
        <v>0</v>
      </c>
    </row>
    <row r="1281" spans="1:5" hidden="1" x14ac:dyDescent="0.25"/>
    <row r="1282" spans="1:5" hidden="1" x14ac:dyDescent="0.25">
      <c r="A1282" s="6" t="s">
        <v>701</v>
      </c>
      <c r="B1282" s="6" t="s">
        <v>4</v>
      </c>
      <c r="C1282" s="6" t="s">
        <v>4</v>
      </c>
      <c r="D1282" s="4" t="s">
        <v>4</v>
      </c>
      <c r="E1282" s="5">
        <f>SUM(E1275:E1280)</f>
        <v>0</v>
      </c>
    </row>
    <row r="1283" spans="1:5" hidden="1" x14ac:dyDescent="0.25">
      <c r="A1283" s="6"/>
      <c r="B1283" s="6"/>
      <c r="C1283" s="6"/>
    </row>
    <row r="1284" spans="1:5" hidden="1" x14ac:dyDescent="0.25">
      <c r="A1284" s="6" t="s">
        <v>702</v>
      </c>
      <c r="B1284" s="6"/>
      <c r="C1284" s="6"/>
    </row>
    <row r="1285" spans="1:5" hidden="1" x14ac:dyDescent="0.25">
      <c r="A1285" s="6" t="s">
        <v>12</v>
      </c>
      <c r="B1285" s="6"/>
      <c r="C1285" s="6"/>
    </row>
    <row r="1286" spans="1:5" hidden="1" x14ac:dyDescent="0.25">
      <c r="A1286" s="6"/>
      <c r="B1286" s="6"/>
      <c r="C1286" s="6"/>
    </row>
    <row r="1287" spans="1:5" hidden="1" x14ac:dyDescent="0.25">
      <c r="A1287" s="11" t="s">
        <v>703</v>
      </c>
      <c r="B1287" s="11" t="s">
        <v>14</v>
      </c>
      <c r="C1287" s="6"/>
      <c r="D1287" s="4" t="s">
        <v>15</v>
      </c>
      <c r="E1287" s="5">
        <v>0</v>
      </c>
    </row>
    <row r="1288" spans="1:5" hidden="1" x14ac:dyDescent="0.25">
      <c r="A1288" s="11" t="s">
        <v>703</v>
      </c>
      <c r="B1288" s="6" t="s">
        <v>17</v>
      </c>
      <c r="C1288" s="6"/>
      <c r="D1288" s="4" t="s">
        <v>18</v>
      </c>
      <c r="E1288" s="5">
        <f>E1287*B3801</f>
        <v>0</v>
      </c>
    </row>
    <row r="1289" spans="1:5" hidden="1" x14ac:dyDescent="0.25">
      <c r="A1289" s="11" t="s">
        <v>703</v>
      </c>
      <c r="B1289" s="6" t="s">
        <v>19</v>
      </c>
      <c r="C1289" s="6"/>
      <c r="D1289" s="4" t="s">
        <v>20</v>
      </c>
      <c r="E1289" s="5">
        <f>E1287*B3802</f>
        <v>0</v>
      </c>
    </row>
    <row r="1290" spans="1:5" hidden="1" x14ac:dyDescent="0.25">
      <c r="A1290" s="11" t="s">
        <v>703</v>
      </c>
      <c r="B1290" s="6" t="s">
        <v>21</v>
      </c>
      <c r="C1290" s="6"/>
      <c r="D1290" s="4" t="s">
        <v>22</v>
      </c>
      <c r="E1290" s="5">
        <f>E1287*B3803</f>
        <v>0</v>
      </c>
    </row>
    <row r="1291" spans="1:5" hidden="1" x14ac:dyDescent="0.25">
      <c r="A1291" s="11" t="s">
        <v>703</v>
      </c>
      <c r="B1291" s="11" t="s">
        <v>159</v>
      </c>
      <c r="C1291" s="6"/>
      <c r="D1291" s="4" t="s">
        <v>371</v>
      </c>
      <c r="E1291" s="5">
        <f>3000-3000</f>
        <v>0</v>
      </c>
    </row>
    <row r="1292" spans="1:5" hidden="1" x14ac:dyDescent="0.25">
      <c r="A1292" s="6"/>
      <c r="B1292" s="6"/>
      <c r="C1292" s="6"/>
    </row>
    <row r="1293" spans="1:5" hidden="1" x14ac:dyDescent="0.25">
      <c r="A1293" s="6" t="s">
        <v>704</v>
      </c>
      <c r="B1293" s="6"/>
      <c r="C1293" s="6"/>
      <c r="E1293" s="5">
        <f>SUM(E1287:E1291)</f>
        <v>0</v>
      </c>
    </row>
    <row r="1294" spans="1:5" hidden="1" x14ac:dyDescent="0.25">
      <c r="A1294" s="6"/>
      <c r="B1294" s="6"/>
      <c r="C1294" s="6"/>
    </row>
    <row r="1295" spans="1:5" x14ac:dyDescent="0.25">
      <c r="A1295" s="6" t="s">
        <v>705</v>
      </c>
    </row>
    <row r="1296" spans="1:5" x14ac:dyDescent="0.25">
      <c r="A1296" s="6" t="s">
        <v>12</v>
      </c>
    </row>
    <row r="1297" spans="1:6" x14ac:dyDescent="0.25">
      <c r="A1297" s="6" t="s">
        <v>706</v>
      </c>
      <c r="B1297" s="6" t="s">
        <v>53</v>
      </c>
      <c r="D1297" s="4" t="s">
        <v>54</v>
      </c>
      <c r="E1297" s="5">
        <v>311595</v>
      </c>
    </row>
    <row r="1298" spans="1:6" x14ac:dyDescent="0.25">
      <c r="A1298" s="6" t="s">
        <v>706</v>
      </c>
      <c r="B1298" s="6" t="s">
        <v>55</v>
      </c>
      <c r="D1298" s="4" t="s">
        <v>56</v>
      </c>
      <c r="E1298" s="5">
        <v>0</v>
      </c>
      <c r="F1298" s="4" t="s">
        <v>4</v>
      </c>
    </row>
    <row r="1299" spans="1:6" x14ac:dyDescent="0.25">
      <c r="A1299" s="6" t="s">
        <v>706</v>
      </c>
      <c r="B1299" s="11" t="s">
        <v>34</v>
      </c>
      <c r="D1299" s="4" t="s">
        <v>57</v>
      </c>
      <c r="E1299" s="5">
        <v>0</v>
      </c>
    </row>
    <row r="1300" spans="1:6" x14ac:dyDescent="0.25">
      <c r="A1300" s="6" t="s">
        <v>706</v>
      </c>
      <c r="B1300" s="11" t="s">
        <v>245</v>
      </c>
      <c r="D1300" s="4" t="s">
        <v>707</v>
      </c>
      <c r="E1300" s="5">
        <v>2000</v>
      </c>
      <c r="F1300" s="4" t="s">
        <v>4</v>
      </c>
    </row>
    <row r="1301" spans="1:6" x14ac:dyDescent="0.25">
      <c r="A1301" s="6" t="s">
        <v>706</v>
      </c>
      <c r="B1301" s="6" t="s">
        <v>14</v>
      </c>
      <c r="D1301" s="4" t="s">
        <v>15</v>
      </c>
      <c r="E1301" s="5">
        <v>0</v>
      </c>
    </row>
    <row r="1302" spans="1:6" x14ac:dyDescent="0.25">
      <c r="A1302" s="6" t="s">
        <v>706</v>
      </c>
      <c r="B1302" s="6" t="s">
        <v>14</v>
      </c>
      <c r="D1302" s="4" t="s">
        <v>15</v>
      </c>
      <c r="E1302" s="5">
        <v>139158</v>
      </c>
    </row>
    <row r="1303" spans="1:6" x14ac:dyDescent="0.25">
      <c r="A1303" s="6" t="s">
        <v>706</v>
      </c>
      <c r="B1303" s="6" t="s">
        <v>17</v>
      </c>
      <c r="D1303" s="4" t="s">
        <v>18</v>
      </c>
      <c r="E1303" s="5">
        <f>E1302*B3801</f>
        <v>8627.7960000000003</v>
      </c>
      <c r="F1303" s="4" t="s">
        <v>4</v>
      </c>
    </row>
    <row r="1304" spans="1:6" x14ac:dyDescent="0.25">
      <c r="A1304" s="6" t="s">
        <v>706</v>
      </c>
      <c r="B1304" s="6" t="s">
        <v>19</v>
      </c>
      <c r="D1304" s="4" t="s">
        <v>20</v>
      </c>
      <c r="E1304" s="5">
        <f>SUM(E1297:E1302)*B3802</f>
        <v>6564.9185000000007</v>
      </c>
      <c r="F1304" s="4" t="s">
        <v>4</v>
      </c>
    </row>
    <row r="1305" spans="1:6" x14ac:dyDescent="0.25">
      <c r="A1305" s="6" t="s">
        <v>706</v>
      </c>
      <c r="B1305" s="11" t="s">
        <v>40</v>
      </c>
      <c r="D1305" s="4" t="s">
        <v>60</v>
      </c>
      <c r="E1305" s="5">
        <f>SUM(E1297:E1301)*B3799</f>
        <v>9407.85</v>
      </c>
    </row>
    <row r="1306" spans="1:6" x14ac:dyDescent="0.25">
      <c r="A1306" s="6" t="s">
        <v>706</v>
      </c>
      <c r="B1306" s="6" t="s">
        <v>21</v>
      </c>
      <c r="D1306" s="4" t="s">
        <v>22</v>
      </c>
      <c r="E1306" s="5">
        <f>E1302*B3803</f>
        <v>32479.477200000001</v>
      </c>
      <c r="F1306" s="4" t="s">
        <v>4</v>
      </c>
    </row>
    <row r="1307" spans="1:6" x14ac:dyDescent="0.25">
      <c r="A1307" s="6" t="s">
        <v>706</v>
      </c>
      <c r="B1307" s="11" t="s">
        <v>159</v>
      </c>
      <c r="D1307" s="4" t="s">
        <v>371</v>
      </c>
      <c r="E1307" s="5">
        <v>900</v>
      </c>
    </row>
    <row r="1308" spans="1:6" x14ac:dyDescent="0.25">
      <c r="A1308" s="6" t="s">
        <v>706</v>
      </c>
      <c r="B1308" s="11" t="s">
        <v>44</v>
      </c>
      <c r="D1308" s="4" t="s">
        <v>45</v>
      </c>
      <c r="E1308" s="5">
        <f>260000+7800+8034+8275</f>
        <v>284109</v>
      </c>
      <c r="F1308" s="4" t="s">
        <v>708</v>
      </c>
    </row>
    <row r="1309" spans="1:6" x14ac:dyDescent="0.25">
      <c r="A1309" s="6" t="s">
        <v>706</v>
      </c>
      <c r="B1309" s="11" t="s">
        <v>385</v>
      </c>
      <c r="D1309" s="4" t="s">
        <v>560</v>
      </c>
      <c r="E1309" s="5">
        <f>2200-2200</f>
        <v>0</v>
      </c>
    </row>
    <row r="1310" spans="1:6" x14ac:dyDescent="0.25">
      <c r="A1310" s="6" t="s">
        <v>706</v>
      </c>
      <c r="B1310" s="11" t="s">
        <v>72</v>
      </c>
      <c r="D1310" s="4" t="s">
        <v>111</v>
      </c>
      <c r="E1310" s="5">
        <v>250</v>
      </c>
    </row>
    <row r="1311" spans="1:6" x14ac:dyDescent="0.25">
      <c r="A1311" s="6" t="s">
        <v>706</v>
      </c>
      <c r="B1311" s="6" t="s">
        <v>46</v>
      </c>
      <c r="D1311" s="4" t="s">
        <v>47</v>
      </c>
      <c r="E1311" s="5">
        <f>12000+10000-3000-1635-1300+1500-200</f>
        <v>17365</v>
      </c>
    </row>
    <row r="1312" spans="1:6" x14ac:dyDescent="0.25">
      <c r="A1312" s="6" t="s">
        <v>706</v>
      </c>
      <c r="B1312" s="11" t="s">
        <v>48</v>
      </c>
      <c r="D1312" s="4" t="s">
        <v>49</v>
      </c>
      <c r="E1312" s="5">
        <f>2000-1500</f>
        <v>500</v>
      </c>
    </row>
    <row r="1313" spans="1:5" x14ac:dyDescent="0.25">
      <c r="A1313" s="6" t="s">
        <v>706</v>
      </c>
      <c r="B1313" s="11" t="s">
        <v>131</v>
      </c>
      <c r="D1313" s="4" t="s">
        <v>132</v>
      </c>
      <c r="E1313" s="5">
        <f>3000+2500-4500</f>
        <v>1000</v>
      </c>
    </row>
    <row r="1314" spans="1:5" x14ac:dyDescent="0.25">
      <c r="A1314" s="6" t="s">
        <v>706</v>
      </c>
      <c r="B1314" s="6" t="s">
        <v>27</v>
      </c>
      <c r="D1314" s="4" t="s">
        <v>709</v>
      </c>
      <c r="E1314" s="5">
        <v>200</v>
      </c>
    </row>
    <row r="1316" spans="1:5" x14ac:dyDescent="0.25">
      <c r="A1316" s="6" t="s">
        <v>710</v>
      </c>
      <c r="B1316" s="6" t="s">
        <v>4</v>
      </c>
      <c r="C1316" s="6" t="s">
        <v>4</v>
      </c>
      <c r="D1316" s="4" t="s">
        <v>4</v>
      </c>
      <c r="E1316" s="5">
        <f>SUM(E1297:E1314)</f>
        <v>814157.04169999994</v>
      </c>
    </row>
    <row r="1318" spans="1:5" x14ac:dyDescent="0.25">
      <c r="A1318" s="6" t="s">
        <v>711</v>
      </c>
    </row>
    <row r="1319" spans="1:5" x14ac:dyDescent="0.25">
      <c r="A1319" s="6" t="s">
        <v>12</v>
      </c>
    </row>
    <row r="1320" spans="1:5" x14ac:dyDescent="0.25">
      <c r="A1320" s="11" t="s">
        <v>712</v>
      </c>
      <c r="B1320" s="6" t="s">
        <v>53</v>
      </c>
      <c r="D1320" s="4" t="s">
        <v>54</v>
      </c>
      <c r="E1320" s="5">
        <v>0</v>
      </c>
    </row>
    <row r="1321" spans="1:5" x14ac:dyDescent="0.25">
      <c r="A1321" s="11" t="s">
        <v>712</v>
      </c>
      <c r="B1321" s="6" t="s">
        <v>55</v>
      </c>
      <c r="D1321" s="4" t="s">
        <v>56</v>
      </c>
      <c r="E1321" s="5">
        <v>0</v>
      </c>
    </row>
    <row r="1322" spans="1:5" x14ac:dyDescent="0.25">
      <c r="A1322" s="11" t="s">
        <v>712</v>
      </c>
      <c r="B1322" s="6" t="s">
        <v>32</v>
      </c>
      <c r="D1322" s="4" t="s">
        <v>33</v>
      </c>
      <c r="E1322" s="5">
        <v>0</v>
      </c>
    </row>
    <row r="1323" spans="1:5" x14ac:dyDescent="0.25">
      <c r="A1323" s="11" t="s">
        <v>712</v>
      </c>
      <c r="B1323" s="6" t="s">
        <v>19</v>
      </c>
      <c r="D1323" s="4" t="s">
        <v>20</v>
      </c>
      <c r="E1323" s="5">
        <f>SUM(E1320:E1322)*B3802</f>
        <v>0</v>
      </c>
    </row>
    <row r="1324" spans="1:5" x14ac:dyDescent="0.25">
      <c r="A1324" s="11" t="s">
        <v>712</v>
      </c>
      <c r="B1324" s="11" t="s">
        <v>40</v>
      </c>
      <c r="D1324" s="4" t="s">
        <v>60</v>
      </c>
      <c r="E1324" s="5">
        <f>SUM(E1320:E1322)*B3799</f>
        <v>0</v>
      </c>
    </row>
    <row r="1326" spans="1:5" x14ac:dyDescent="0.25">
      <c r="A1326" s="6" t="s">
        <v>713</v>
      </c>
      <c r="B1326" s="6" t="s">
        <v>4</v>
      </c>
      <c r="C1326" s="6" t="s">
        <v>4</v>
      </c>
      <c r="D1326" s="4" t="s">
        <v>4</v>
      </c>
      <c r="E1326" s="5">
        <f>SUM(E1320:E1324)</f>
        <v>0</v>
      </c>
    </row>
    <row r="1329" spans="1:6" x14ac:dyDescent="0.25">
      <c r="A1329" s="6" t="s">
        <v>714</v>
      </c>
    </row>
    <row r="1330" spans="1:6" x14ac:dyDescent="0.25">
      <c r="A1330" s="6" t="s">
        <v>12</v>
      </c>
    </row>
    <row r="1331" spans="1:6" x14ac:dyDescent="0.25">
      <c r="A1331" s="6" t="s">
        <v>715</v>
      </c>
      <c r="B1331" s="6" t="s">
        <v>53</v>
      </c>
      <c r="D1331" s="4" t="s">
        <v>54</v>
      </c>
      <c r="E1331" s="5">
        <v>99071</v>
      </c>
    </row>
    <row r="1332" spans="1:6" x14ac:dyDescent="0.25">
      <c r="A1332" s="6" t="s">
        <v>715</v>
      </c>
      <c r="B1332" s="11" t="s">
        <v>32</v>
      </c>
      <c r="D1332" s="4" t="s">
        <v>33</v>
      </c>
      <c r="E1332" s="5">
        <v>1000</v>
      </c>
    </row>
    <row r="1333" spans="1:6" x14ac:dyDescent="0.25">
      <c r="A1333" s="6" t="s">
        <v>715</v>
      </c>
      <c r="B1333" s="11" t="s">
        <v>34</v>
      </c>
      <c r="D1333" s="4" t="s">
        <v>35</v>
      </c>
      <c r="E1333" s="5">
        <v>2500</v>
      </c>
    </row>
    <row r="1334" spans="1:6" x14ac:dyDescent="0.25">
      <c r="A1334" s="6" t="s">
        <v>715</v>
      </c>
      <c r="B1334" s="6" t="s">
        <v>14</v>
      </c>
      <c r="D1334" s="4" t="s">
        <v>15</v>
      </c>
      <c r="E1334" s="5">
        <v>29061</v>
      </c>
    </row>
    <row r="1335" spans="1:6" x14ac:dyDescent="0.25">
      <c r="A1335" s="6" t="s">
        <v>715</v>
      </c>
      <c r="B1335" s="6" t="s">
        <v>17</v>
      </c>
      <c r="D1335" s="4" t="s">
        <v>18</v>
      </c>
      <c r="E1335" s="5">
        <f>E1334*B3801</f>
        <v>1801.7819999999999</v>
      </c>
    </row>
    <row r="1336" spans="1:6" x14ac:dyDescent="0.25">
      <c r="A1336" s="6" t="s">
        <v>715</v>
      </c>
      <c r="B1336" s="6" t="s">
        <v>19</v>
      </c>
      <c r="D1336" s="4" t="s">
        <v>20</v>
      </c>
      <c r="E1336" s="5">
        <f>SUM(E1331:E1334)*B3802</f>
        <v>1908.664</v>
      </c>
    </row>
    <row r="1337" spans="1:6" x14ac:dyDescent="0.25">
      <c r="A1337" s="6" t="s">
        <v>715</v>
      </c>
      <c r="B1337" s="11" t="s">
        <v>40</v>
      </c>
      <c r="D1337" s="4" t="s">
        <v>60</v>
      </c>
      <c r="E1337" s="5">
        <f>SUM(E1331:E1333)*B3799</f>
        <v>3077.13</v>
      </c>
    </row>
    <row r="1338" spans="1:6" x14ac:dyDescent="0.25">
      <c r="A1338" s="6" t="s">
        <v>715</v>
      </c>
      <c r="B1338" s="6" t="s">
        <v>21</v>
      </c>
      <c r="D1338" s="4" t="s">
        <v>22</v>
      </c>
      <c r="E1338" s="5">
        <f>E1334*B3803</f>
        <v>6782.8374000000003</v>
      </c>
    </row>
    <row r="1340" spans="1:6" x14ac:dyDescent="0.25">
      <c r="A1340" s="6" t="s">
        <v>716</v>
      </c>
      <c r="B1340" s="6" t="s">
        <v>4</v>
      </c>
      <c r="C1340" s="6" t="s">
        <v>4</v>
      </c>
      <c r="D1340" s="4" t="s">
        <v>4</v>
      </c>
      <c r="E1340" s="5">
        <f>SUM(E1331:E1338)</f>
        <v>145202.41339999999</v>
      </c>
    </row>
    <row r="1342" spans="1:6" hidden="1" x14ac:dyDescent="0.25">
      <c r="A1342" s="6" t="s">
        <v>717</v>
      </c>
    </row>
    <row r="1343" spans="1:6" hidden="1" x14ac:dyDescent="0.25">
      <c r="A1343" s="6" t="s">
        <v>12</v>
      </c>
    </row>
    <row r="1344" spans="1:6" hidden="1" x14ac:dyDescent="0.25">
      <c r="A1344" s="6" t="s">
        <v>718</v>
      </c>
      <c r="B1344" s="6" t="s">
        <v>719</v>
      </c>
      <c r="D1344" s="4" t="s">
        <v>720</v>
      </c>
      <c r="E1344" s="5">
        <v>0</v>
      </c>
      <c r="F1344" s="4" t="s">
        <v>4</v>
      </c>
    </row>
    <row r="1345" spans="1:6" hidden="1" x14ac:dyDescent="0.25"/>
    <row r="1346" spans="1:6" hidden="1" x14ac:dyDescent="0.25">
      <c r="A1346" s="6" t="s">
        <v>721</v>
      </c>
      <c r="B1346" s="6" t="s">
        <v>4</v>
      </c>
      <c r="C1346" s="6" t="s">
        <v>4</v>
      </c>
      <c r="D1346" s="4" t="s">
        <v>4</v>
      </c>
      <c r="E1346" s="5">
        <f>E1344</f>
        <v>0</v>
      </c>
    </row>
    <row r="1347" spans="1:6" hidden="1" x14ac:dyDescent="0.25"/>
    <row r="1348" spans="1:6" x14ac:dyDescent="0.25">
      <c r="A1348" s="6" t="s">
        <v>722</v>
      </c>
    </row>
    <row r="1350" spans="1:6" x14ac:dyDescent="0.25">
      <c r="A1350" s="12" t="s">
        <v>723</v>
      </c>
      <c r="B1350" s="12" t="s">
        <v>380</v>
      </c>
      <c r="D1350" s="4" t="s">
        <v>381</v>
      </c>
      <c r="E1350" s="5">
        <v>1435</v>
      </c>
    </row>
    <row r="1351" spans="1:6" x14ac:dyDescent="0.25">
      <c r="A1351" s="12" t="s">
        <v>723</v>
      </c>
      <c r="B1351" s="12" t="s">
        <v>385</v>
      </c>
      <c r="D1351" s="4" t="s">
        <v>386</v>
      </c>
      <c r="E1351" s="5">
        <v>2100</v>
      </c>
    </row>
    <row r="1352" spans="1:6" x14ac:dyDescent="0.25">
      <c r="A1352" s="12" t="s">
        <v>723</v>
      </c>
      <c r="B1352" s="12" t="s">
        <v>46</v>
      </c>
      <c r="D1352" s="4" t="s">
        <v>389</v>
      </c>
      <c r="E1352" s="5">
        <f>300-300</f>
        <v>0</v>
      </c>
    </row>
    <row r="1353" spans="1:6" x14ac:dyDescent="0.25">
      <c r="A1353" s="12"/>
    </row>
    <row r="1354" spans="1:6" x14ac:dyDescent="0.25">
      <c r="A1354" s="6" t="s">
        <v>724</v>
      </c>
      <c r="E1354" s="5">
        <f>SUM(E1350:E1352)</f>
        <v>3535</v>
      </c>
    </row>
    <row r="1355" spans="1:6" x14ac:dyDescent="0.25">
      <c r="A1355" s="12"/>
    </row>
    <row r="1356" spans="1:6" x14ac:dyDescent="0.25">
      <c r="A1356" s="6" t="s">
        <v>725</v>
      </c>
    </row>
    <row r="1357" spans="1:6" x14ac:dyDescent="0.25">
      <c r="A1357" s="6" t="s">
        <v>12</v>
      </c>
    </row>
    <row r="1358" spans="1:6" x14ac:dyDescent="0.25">
      <c r="A1358" s="6" t="s">
        <v>726</v>
      </c>
      <c r="B1358" s="11" t="s">
        <v>55</v>
      </c>
      <c r="D1358" s="4" t="s">
        <v>56</v>
      </c>
      <c r="E1358" s="5">
        <v>6801</v>
      </c>
    </row>
    <row r="1359" spans="1:6" x14ac:dyDescent="0.25">
      <c r="A1359" s="6" t="s">
        <v>726</v>
      </c>
      <c r="B1359" s="11" t="s">
        <v>32</v>
      </c>
      <c r="D1359" s="4" t="s">
        <v>33</v>
      </c>
      <c r="E1359" s="5">
        <f>33000+4000+1575</f>
        <v>38575</v>
      </c>
      <c r="F1359" s="23"/>
    </row>
    <row r="1360" spans="1:6" x14ac:dyDescent="0.25">
      <c r="A1360" s="6" t="s">
        <v>726</v>
      </c>
      <c r="B1360" s="11" t="s">
        <v>34</v>
      </c>
      <c r="D1360" s="4" t="s">
        <v>35</v>
      </c>
      <c r="E1360" s="5">
        <v>4000</v>
      </c>
    </row>
    <row r="1361" spans="1:6" x14ac:dyDescent="0.25">
      <c r="A1361" s="6" t="s">
        <v>726</v>
      </c>
      <c r="B1361" s="6" t="s">
        <v>254</v>
      </c>
      <c r="D1361" s="4" t="s">
        <v>255</v>
      </c>
      <c r="E1361" s="5">
        <f>13000+1500</f>
        <v>14500</v>
      </c>
    </row>
    <row r="1362" spans="1:6" x14ac:dyDescent="0.25">
      <c r="A1362" s="6" t="s">
        <v>726</v>
      </c>
      <c r="B1362" s="11" t="s">
        <v>14</v>
      </c>
      <c r="D1362" s="4" t="s">
        <v>15</v>
      </c>
      <c r="E1362" s="5">
        <v>0</v>
      </c>
    </row>
    <row r="1363" spans="1:6" x14ac:dyDescent="0.25">
      <c r="A1363" s="6" t="s">
        <v>726</v>
      </c>
      <c r="B1363" s="6" t="s">
        <v>25</v>
      </c>
      <c r="D1363" s="4" t="s">
        <v>58</v>
      </c>
      <c r="E1363" s="5">
        <f>20478+13500+2522</f>
        <v>36500</v>
      </c>
      <c r="F1363" s="23"/>
    </row>
    <row r="1364" spans="1:6" x14ac:dyDescent="0.25">
      <c r="A1364" s="6" t="s">
        <v>726</v>
      </c>
      <c r="B1364" s="11" t="s">
        <v>36</v>
      </c>
      <c r="D1364" s="4" t="s">
        <v>727</v>
      </c>
      <c r="E1364" s="5">
        <f>500+500</f>
        <v>1000</v>
      </c>
    </row>
    <row r="1365" spans="1:6" x14ac:dyDescent="0.25">
      <c r="A1365" s="6" t="s">
        <v>726</v>
      </c>
      <c r="B1365" s="6" t="s">
        <v>17</v>
      </c>
      <c r="D1365" s="4" t="s">
        <v>18</v>
      </c>
      <c r="E1365" s="5">
        <f>SUM(E1362:E1364)*B3801</f>
        <v>2325</v>
      </c>
    </row>
    <row r="1366" spans="1:6" x14ac:dyDescent="0.25">
      <c r="A1366" s="6" t="s">
        <v>726</v>
      </c>
      <c r="B1366" s="6" t="s">
        <v>19</v>
      </c>
      <c r="D1366" s="4" t="s">
        <v>20</v>
      </c>
      <c r="E1366" s="5">
        <f>SUM(E1358:E1364)*B3802</f>
        <v>1469.952</v>
      </c>
    </row>
    <row r="1367" spans="1:6" x14ac:dyDescent="0.25">
      <c r="A1367" s="6" t="s">
        <v>726</v>
      </c>
      <c r="B1367" s="11" t="s">
        <v>40</v>
      </c>
      <c r="D1367" s="4" t="s">
        <v>60</v>
      </c>
      <c r="E1367" s="5">
        <f>SUM(E1358:E1361)*B3799</f>
        <v>1916.28</v>
      </c>
    </row>
    <row r="1368" spans="1:6" x14ac:dyDescent="0.25">
      <c r="A1368" s="6" t="s">
        <v>726</v>
      </c>
      <c r="B1368" s="6" t="s">
        <v>21</v>
      </c>
      <c r="D1368" s="4" t="s">
        <v>22</v>
      </c>
      <c r="E1368" s="5">
        <f>SUM(E1362:E1364)*B3803</f>
        <v>8752.5</v>
      </c>
    </row>
    <row r="1369" spans="1:6" x14ac:dyDescent="0.25">
      <c r="A1369" s="6" t="s">
        <v>726</v>
      </c>
      <c r="B1369" s="11" t="s">
        <v>34</v>
      </c>
      <c r="D1369" s="4" t="s">
        <v>728</v>
      </c>
      <c r="E1369" s="5">
        <v>0</v>
      </c>
    </row>
    <row r="1370" spans="1:6" x14ac:dyDescent="0.25">
      <c r="A1370" s="6" t="s">
        <v>726</v>
      </c>
      <c r="B1370" s="11" t="s">
        <v>25</v>
      </c>
      <c r="D1370" s="4" t="s">
        <v>729</v>
      </c>
      <c r="E1370" s="5">
        <v>0</v>
      </c>
    </row>
    <row r="1371" spans="1:6" x14ac:dyDescent="0.25">
      <c r="A1371" s="6" t="s">
        <v>726</v>
      </c>
      <c r="B1371" s="11" t="s">
        <v>61</v>
      </c>
      <c r="D1371" s="4" t="s">
        <v>106</v>
      </c>
      <c r="E1371" s="5">
        <v>0</v>
      </c>
    </row>
    <row r="1372" spans="1:6" x14ac:dyDescent="0.25">
      <c r="A1372" s="6" t="s">
        <v>726</v>
      </c>
      <c r="B1372" s="11" t="s">
        <v>44</v>
      </c>
      <c r="D1372" s="4" t="s">
        <v>45</v>
      </c>
      <c r="E1372" s="5">
        <v>0</v>
      </c>
    </row>
    <row r="1373" spans="1:6" x14ac:dyDescent="0.25">
      <c r="A1373" s="6" t="s">
        <v>726</v>
      </c>
      <c r="B1373" s="11" t="s">
        <v>70</v>
      </c>
      <c r="D1373" s="4" t="s">
        <v>335</v>
      </c>
      <c r="E1373" s="5">
        <v>0</v>
      </c>
    </row>
    <row r="1374" spans="1:6" x14ac:dyDescent="0.25">
      <c r="A1374" s="6" t="s">
        <v>726</v>
      </c>
      <c r="B1374" s="11" t="s">
        <v>46</v>
      </c>
      <c r="D1374" s="4" t="s">
        <v>93</v>
      </c>
      <c r="E1374" s="5">
        <f>2500-2500+2500-2500</f>
        <v>0</v>
      </c>
    </row>
    <row r="1375" spans="1:6" x14ac:dyDescent="0.25">
      <c r="A1375" s="6" t="s">
        <v>726</v>
      </c>
      <c r="B1375" s="11" t="s">
        <v>94</v>
      </c>
      <c r="D1375" s="4" t="s">
        <v>294</v>
      </c>
      <c r="E1375" s="5">
        <f>2500-2500+2500-2500</f>
        <v>0</v>
      </c>
    </row>
    <row r="1376" spans="1:6" x14ac:dyDescent="0.25">
      <c r="A1376" s="6" t="s">
        <v>726</v>
      </c>
      <c r="B1376" s="11" t="s">
        <v>112</v>
      </c>
      <c r="D1376" s="4" t="s">
        <v>297</v>
      </c>
      <c r="E1376" s="5">
        <f>5000-5000+5000-5000</f>
        <v>0</v>
      </c>
    </row>
    <row r="1377" spans="1:6" x14ac:dyDescent="0.25">
      <c r="A1377" s="6" t="s">
        <v>726</v>
      </c>
      <c r="B1377" s="11" t="s">
        <v>78</v>
      </c>
      <c r="D1377" s="4" t="s">
        <v>730</v>
      </c>
      <c r="E1377" s="5">
        <v>0</v>
      </c>
    </row>
    <row r="1379" spans="1:6" x14ac:dyDescent="0.25">
      <c r="A1379" s="6" t="s">
        <v>731</v>
      </c>
      <c r="B1379" s="6" t="s">
        <v>4</v>
      </c>
      <c r="C1379" s="6" t="s">
        <v>4</v>
      </c>
      <c r="D1379" s="4" t="s">
        <v>4</v>
      </c>
      <c r="E1379" s="5">
        <f>SUM(E1358:E1377)</f>
        <v>115839.732</v>
      </c>
    </row>
    <row r="1381" spans="1:6" x14ac:dyDescent="0.25">
      <c r="A1381" s="6" t="s">
        <v>732</v>
      </c>
    </row>
    <row r="1382" spans="1:6" x14ac:dyDescent="0.25">
      <c r="A1382" s="6" t="s">
        <v>12</v>
      </c>
    </row>
    <row r="1383" spans="1:6" x14ac:dyDescent="0.25">
      <c r="A1383" s="11" t="s">
        <v>733</v>
      </c>
      <c r="B1383" s="6" t="s">
        <v>55</v>
      </c>
      <c r="D1383" s="4" t="s">
        <v>56</v>
      </c>
      <c r="E1383" s="5">
        <v>29835</v>
      </c>
    </row>
    <row r="1384" spans="1:6" x14ac:dyDescent="0.25">
      <c r="A1384" s="11" t="s">
        <v>733</v>
      </c>
      <c r="B1384" s="6" t="s">
        <v>32</v>
      </c>
      <c r="D1384" s="4" t="s">
        <v>33</v>
      </c>
      <c r="E1384" s="5">
        <v>11099</v>
      </c>
    </row>
    <row r="1385" spans="1:6" x14ac:dyDescent="0.25">
      <c r="A1385" s="11" t="s">
        <v>733</v>
      </c>
      <c r="B1385" s="6" t="s">
        <v>19</v>
      </c>
      <c r="D1385" s="4" t="s">
        <v>20</v>
      </c>
      <c r="E1385" s="5">
        <f>SUM(E1383:E1384)*B3798</f>
        <v>593.54300000000001</v>
      </c>
    </row>
    <row r="1386" spans="1:6" x14ac:dyDescent="0.25">
      <c r="A1386" s="11" t="s">
        <v>733</v>
      </c>
      <c r="B1386" s="6" t="s">
        <v>40</v>
      </c>
      <c r="D1386" s="4" t="s">
        <v>60</v>
      </c>
      <c r="E1386" s="5">
        <f>SUM(E1383:E1384)*B3799</f>
        <v>1228.02</v>
      </c>
    </row>
    <row r="1388" spans="1:6" x14ac:dyDescent="0.25">
      <c r="A1388" s="6" t="s">
        <v>734</v>
      </c>
      <c r="B1388" s="6" t="s">
        <v>4</v>
      </c>
      <c r="C1388" s="6" t="s">
        <v>4</v>
      </c>
      <c r="D1388" s="4" t="s">
        <v>4</v>
      </c>
      <c r="E1388" s="5">
        <f>SUM(E1383:E1386)</f>
        <v>42755.562999999995</v>
      </c>
    </row>
    <row r="1389" spans="1:6" hidden="1" x14ac:dyDescent="0.25"/>
    <row r="1390" spans="1:6" hidden="1" x14ac:dyDescent="0.25">
      <c r="A1390" s="6" t="s">
        <v>12</v>
      </c>
    </row>
    <row r="1391" spans="1:6" hidden="1" x14ac:dyDescent="0.25">
      <c r="A1391" s="6" t="s">
        <v>735</v>
      </c>
      <c r="B1391" s="6" t="s">
        <v>167</v>
      </c>
      <c r="D1391" s="4" t="s">
        <v>537</v>
      </c>
      <c r="E1391" s="5">
        <v>0</v>
      </c>
      <c r="F1391" s="4" t="s">
        <v>4</v>
      </c>
    </row>
    <row r="1392" spans="1:6" hidden="1" x14ac:dyDescent="0.25">
      <c r="A1392" s="6" t="s">
        <v>735</v>
      </c>
      <c r="B1392" s="11" t="s">
        <v>171</v>
      </c>
      <c r="D1392" s="4" t="s">
        <v>172</v>
      </c>
      <c r="E1392" s="5">
        <v>0</v>
      </c>
    </row>
    <row r="1393" spans="1:6" hidden="1" x14ac:dyDescent="0.25">
      <c r="A1393" s="6" t="s">
        <v>735</v>
      </c>
      <c r="B1393" s="11" t="s">
        <v>173</v>
      </c>
      <c r="D1393" s="4" t="s">
        <v>700</v>
      </c>
      <c r="E1393" s="5">
        <v>0</v>
      </c>
    </row>
    <row r="1394" spans="1:6" hidden="1" x14ac:dyDescent="0.25">
      <c r="A1394" s="6" t="s">
        <v>735</v>
      </c>
      <c r="B1394" s="11" t="s">
        <v>736</v>
      </c>
      <c r="D1394" s="4" t="s">
        <v>737</v>
      </c>
      <c r="E1394" s="5">
        <v>0</v>
      </c>
    </row>
    <row r="1395" spans="1:6" hidden="1" x14ac:dyDescent="0.25">
      <c r="A1395" s="6" t="s">
        <v>735</v>
      </c>
      <c r="B1395" s="6" t="s">
        <v>46</v>
      </c>
      <c r="D1395" s="4" t="s">
        <v>47</v>
      </c>
      <c r="E1395" s="5">
        <v>0</v>
      </c>
      <c r="F1395" s="4" t="s">
        <v>4</v>
      </c>
    </row>
    <row r="1396" spans="1:6" hidden="1" x14ac:dyDescent="0.25">
      <c r="A1396" s="6" t="s">
        <v>735</v>
      </c>
      <c r="B1396" s="11" t="s">
        <v>179</v>
      </c>
      <c r="D1396" s="4" t="s">
        <v>738</v>
      </c>
      <c r="E1396" s="5">
        <v>0</v>
      </c>
    </row>
    <row r="1397" spans="1:6" hidden="1" x14ac:dyDescent="0.25">
      <c r="A1397" s="6" t="s">
        <v>735</v>
      </c>
      <c r="B1397" s="6" t="s">
        <v>192</v>
      </c>
      <c r="D1397" s="4" t="s">
        <v>546</v>
      </c>
      <c r="E1397" s="5">
        <v>0</v>
      </c>
      <c r="F1397" s="4" t="s">
        <v>4</v>
      </c>
    </row>
    <row r="1398" spans="1:6" hidden="1" x14ac:dyDescent="0.25"/>
    <row r="1399" spans="1:6" hidden="1" x14ac:dyDescent="0.25">
      <c r="A1399" s="6" t="s">
        <v>739</v>
      </c>
      <c r="B1399" s="6" t="s">
        <v>4</v>
      </c>
      <c r="C1399" s="6" t="s">
        <v>4</v>
      </c>
      <c r="D1399" s="4" t="s">
        <v>4</v>
      </c>
      <c r="E1399" s="5">
        <f>SUM(E1391:E1397)</f>
        <v>0</v>
      </c>
      <c r="F1399" s="6"/>
    </row>
    <row r="1400" spans="1:6" hidden="1" x14ac:dyDescent="0.25">
      <c r="A1400" s="6"/>
      <c r="B1400" s="6"/>
      <c r="C1400" s="6"/>
    </row>
    <row r="1401" spans="1:6" hidden="1" x14ac:dyDescent="0.25">
      <c r="A1401" s="6" t="s">
        <v>740</v>
      </c>
    </row>
    <row r="1402" spans="1:6" hidden="1" x14ac:dyDescent="0.25">
      <c r="A1402" s="6" t="s">
        <v>12</v>
      </c>
    </row>
    <row r="1403" spans="1:6" hidden="1" x14ac:dyDescent="0.25">
      <c r="A1403" s="6" t="s">
        <v>741</v>
      </c>
      <c r="B1403" s="6" t="s">
        <v>165</v>
      </c>
      <c r="D1403" s="4" t="s">
        <v>550</v>
      </c>
      <c r="E1403" s="5">
        <f>100-100</f>
        <v>0</v>
      </c>
    </row>
    <row r="1404" spans="1:6" hidden="1" x14ac:dyDescent="0.25"/>
    <row r="1405" spans="1:6" hidden="1" x14ac:dyDescent="0.25">
      <c r="A1405" s="6" t="s">
        <v>742</v>
      </c>
      <c r="B1405" s="6" t="s">
        <v>4</v>
      </c>
      <c r="C1405" s="6" t="s">
        <v>4</v>
      </c>
      <c r="D1405" s="4" t="s">
        <v>4</v>
      </c>
      <c r="E1405" s="5">
        <f>E1403</f>
        <v>0</v>
      </c>
    </row>
    <row r="1406" spans="1:6" hidden="1" x14ac:dyDescent="0.25">
      <c r="A1406" s="6"/>
      <c r="B1406" s="6"/>
      <c r="C1406" s="6"/>
    </row>
    <row r="1407" spans="1:6" hidden="1" x14ac:dyDescent="0.25">
      <c r="A1407" s="6" t="s">
        <v>743</v>
      </c>
    </row>
    <row r="1408" spans="1:6" hidden="1" x14ac:dyDescent="0.25">
      <c r="A1408" s="6" t="s">
        <v>12</v>
      </c>
    </row>
    <row r="1409" spans="1:6" hidden="1" x14ac:dyDescent="0.25">
      <c r="A1409" s="6" t="s">
        <v>744</v>
      </c>
      <c r="B1409" s="6" t="s">
        <v>159</v>
      </c>
      <c r="D1409" s="4" t="s">
        <v>160</v>
      </c>
      <c r="E1409" s="5">
        <v>0</v>
      </c>
      <c r="F1409" s="4" t="s">
        <v>745</v>
      </c>
    </row>
    <row r="1410" spans="1:6" hidden="1" x14ac:dyDescent="0.25">
      <c r="A1410" s="6" t="s">
        <v>744</v>
      </c>
      <c r="B1410" s="11" t="s">
        <v>161</v>
      </c>
      <c r="D1410" s="4" t="s">
        <v>746</v>
      </c>
      <c r="E1410" s="5">
        <v>0</v>
      </c>
    </row>
    <row r="1411" spans="1:6" hidden="1" x14ac:dyDescent="0.25">
      <c r="A1411" s="6" t="s">
        <v>744</v>
      </c>
      <c r="B1411" s="11" t="s">
        <v>167</v>
      </c>
      <c r="D1411" s="4" t="s">
        <v>747</v>
      </c>
      <c r="E1411" s="5">
        <v>0</v>
      </c>
    </row>
    <row r="1412" spans="1:6" hidden="1" x14ac:dyDescent="0.25">
      <c r="A1412" s="6" t="s">
        <v>744</v>
      </c>
      <c r="B1412" s="11" t="s">
        <v>177</v>
      </c>
      <c r="D1412" s="4" t="s">
        <v>748</v>
      </c>
      <c r="E1412" s="5">
        <v>0</v>
      </c>
    </row>
    <row r="1413" spans="1:6" hidden="1" x14ac:dyDescent="0.25">
      <c r="A1413" s="6" t="s">
        <v>744</v>
      </c>
      <c r="B1413" s="11" t="s">
        <v>179</v>
      </c>
      <c r="D1413" s="4" t="s">
        <v>738</v>
      </c>
      <c r="E1413" s="5">
        <v>0</v>
      </c>
    </row>
    <row r="1414" spans="1:6" hidden="1" x14ac:dyDescent="0.25"/>
    <row r="1415" spans="1:6" hidden="1" x14ac:dyDescent="0.25">
      <c r="A1415" s="6" t="s">
        <v>749</v>
      </c>
      <c r="B1415" s="6" t="s">
        <v>4</v>
      </c>
      <c r="C1415" s="6" t="s">
        <v>4</v>
      </c>
      <c r="D1415" s="4" t="s">
        <v>4</v>
      </c>
      <c r="E1415" s="5">
        <f>SUM(E1409:E1413)</f>
        <v>0</v>
      </c>
    </row>
    <row r="1416" spans="1:6" hidden="1" x14ac:dyDescent="0.25"/>
    <row r="1417" spans="1:6" hidden="1" x14ac:dyDescent="0.25">
      <c r="A1417" s="6" t="s">
        <v>750</v>
      </c>
    </row>
    <row r="1418" spans="1:6" hidden="1" x14ac:dyDescent="0.25">
      <c r="A1418" s="6" t="s">
        <v>12</v>
      </c>
    </row>
    <row r="1419" spans="1:6" hidden="1" x14ac:dyDescent="0.25">
      <c r="A1419" s="6" t="s">
        <v>751</v>
      </c>
      <c r="B1419" s="6" t="s">
        <v>165</v>
      </c>
      <c r="D1419" s="4" t="s">
        <v>550</v>
      </c>
      <c r="E1419" s="5">
        <v>0</v>
      </c>
      <c r="F1419" s="4" t="s">
        <v>745</v>
      </c>
    </row>
    <row r="1420" spans="1:6" hidden="1" x14ac:dyDescent="0.25"/>
    <row r="1421" spans="1:6" hidden="1" x14ac:dyDescent="0.25">
      <c r="A1421" s="6" t="s">
        <v>752</v>
      </c>
      <c r="B1421" s="6" t="s">
        <v>4</v>
      </c>
      <c r="C1421" s="6" t="s">
        <v>4</v>
      </c>
      <c r="D1421" s="4" t="s">
        <v>4</v>
      </c>
      <c r="E1421" s="5">
        <f>E1419</f>
        <v>0</v>
      </c>
    </row>
    <row r="1422" spans="1:6" hidden="1" x14ac:dyDescent="0.25"/>
    <row r="1423" spans="1:6" hidden="1" x14ac:dyDescent="0.25"/>
    <row r="1424" spans="1:6" hidden="1" x14ac:dyDescent="0.25">
      <c r="A1424" s="6" t="s">
        <v>753</v>
      </c>
    </row>
    <row r="1425" spans="1:6" hidden="1" x14ac:dyDescent="0.25">
      <c r="A1425" s="6" t="s">
        <v>12</v>
      </c>
    </row>
    <row r="1426" spans="1:6" hidden="1" x14ac:dyDescent="0.25">
      <c r="A1426" s="6" t="s">
        <v>754</v>
      </c>
      <c r="B1426" s="6" t="s">
        <v>14</v>
      </c>
      <c r="D1426" s="4" t="s">
        <v>15</v>
      </c>
    </row>
    <row r="1427" spans="1:6" hidden="1" x14ac:dyDescent="0.25">
      <c r="A1427" s="6" t="s">
        <v>754</v>
      </c>
      <c r="B1427" s="6" t="s">
        <v>17</v>
      </c>
      <c r="D1427" s="4" t="s">
        <v>18</v>
      </c>
      <c r="E1427" s="5">
        <f>E1426*B3801</f>
        <v>0</v>
      </c>
    </row>
    <row r="1428" spans="1:6" hidden="1" x14ac:dyDescent="0.25">
      <c r="A1428" s="6" t="s">
        <v>754</v>
      </c>
      <c r="B1428" s="6" t="s">
        <v>19</v>
      </c>
      <c r="D1428" s="4" t="s">
        <v>20</v>
      </c>
      <c r="E1428" s="5">
        <f>E1426*B3802</f>
        <v>0</v>
      </c>
    </row>
    <row r="1429" spans="1:6" hidden="1" x14ac:dyDescent="0.25">
      <c r="A1429" s="6" t="s">
        <v>754</v>
      </c>
      <c r="B1429" s="6" t="s">
        <v>21</v>
      </c>
      <c r="D1429" s="4" t="s">
        <v>22</v>
      </c>
      <c r="E1429" s="5">
        <f>E1426*B3803</f>
        <v>0</v>
      </c>
    </row>
    <row r="1430" spans="1:6" hidden="1" x14ac:dyDescent="0.25"/>
    <row r="1431" spans="1:6" hidden="1" x14ac:dyDescent="0.25">
      <c r="A1431" s="6" t="s">
        <v>755</v>
      </c>
      <c r="B1431" s="6" t="s">
        <v>4</v>
      </c>
      <c r="C1431" s="6" t="s">
        <v>4</v>
      </c>
      <c r="D1431" s="4" t="s">
        <v>4</v>
      </c>
      <c r="E1431" s="5">
        <f>SUM(E1426:E1429)</f>
        <v>0</v>
      </c>
    </row>
    <row r="1432" spans="1:6" hidden="1" x14ac:dyDescent="0.25"/>
    <row r="1433" spans="1:6" hidden="1" x14ac:dyDescent="0.25">
      <c r="A1433" s="6" t="s">
        <v>756</v>
      </c>
    </row>
    <row r="1434" spans="1:6" hidden="1" x14ac:dyDescent="0.25">
      <c r="A1434" s="6" t="s">
        <v>12</v>
      </c>
    </row>
    <row r="1435" spans="1:6" hidden="1" x14ac:dyDescent="0.25">
      <c r="A1435" s="6" t="s">
        <v>757</v>
      </c>
      <c r="B1435" s="6" t="s">
        <v>61</v>
      </c>
      <c r="D1435" s="4" t="s">
        <v>188</v>
      </c>
      <c r="E1435" s="5">
        <v>0</v>
      </c>
      <c r="F1435" s="4" t="s">
        <v>4</v>
      </c>
    </row>
    <row r="1436" spans="1:6" hidden="1" x14ac:dyDescent="0.25">
      <c r="A1436" s="6" t="s">
        <v>757</v>
      </c>
      <c r="B1436" s="6" t="s">
        <v>46</v>
      </c>
      <c r="D1436" s="4" t="s">
        <v>47</v>
      </c>
      <c r="E1436" s="5">
        <v>0</v>
      </c>
      <c r="F1436" s="4" t="s">
        <v>4</v>
      </c>
    </row>
    <row r="1437" spans="1:6" hidden="1" x14ac:dyDescent="0.25">
      <c r="A1437" s="6" t="s">
        <v>757</v>
      </c>
      <c r="B1437" s="6" t="s">
        <v>72</v>
      </c>
      <c r="D1437" s="4" t="s">
        <v>73</v>
      </c>
      <c r="E1437" s="5">
        <v>0</v>
      </c>
      <c r="F1437" s="4" t="s">
        <v>4</v>
      </c>
    </row>
    <row r="1438" spans="1:6" hidden="1" x14ac:dyDescent="0.25">
      <c r="A1438" s="6" t="s">
        <v>757</v>
      </c>
      <c r="B1438" s="6" t="s">
        <v>192</v>
      </c>
      <c r="D1438" s="4" t="s">
        <v>546</v>
      </c>
      <c r="E1438" s="5">
        <v>0</v>
      </c>
      <c r="F1438" s="4" t="s">
        <v>4</v>
      </c>
    </row>
    <row r="1439" spans="1:6" hidden="1" x14ac:dyDescent="0.25"/>
    <row r="1440" spans="1:6" hidden="1" x14ac:dyDescent="0.25">
      <c r="A1440" s="6" t="s">
        <v>758</v>
      </c>
      <c r="B1440" s="6" t="s">
        <v>4</v>
      </c>
      <c r="C1440" s="6" t="s">
        <v>4</v>
      </c>
      <c r="D1440" s="4" t="s">
        <v>4</v>
      </c>
      <c r="E1440" s="5">
        <f>SUM(E1435:E1438)</f>
        <v>0</v>
      </c>
    </row>
    <row r="1442" spans="1:5" x14ac:dyDescent="0.25">
      <c r="A1442" s="6" t="s">
        <v>759</v>
      </c>
    </row>
    <row r="1443" spans="1:5" x14ac:dyDescent="0.25">
      <c r="A1443" s="6" t="s">
        <v>12</v>
      </c>
    </row>
    <row r="1444" spans="1:5" x14ac:dyDescent="0.25">
      <c r="A1444" s="6" t="s">
        <v>760</v>
      </c>
      <c r="B1444" s="6" t="s">
        <v>53</v>
      </c>
      <c r="D1444" s="4" t="s">
        <v>54</v>
      </c>
      <c r="E1444" s="5">
        <v>147956</v>
      </c>
    </row>
    <row r="1445" spans="1:5" x14ac:dyDescent="0.25">
      <c r="A1445" s="6" t="s">
        <v>760</v>
      </c>
      <c r="B1445" s="6" t="s">
        <v>19</v>
      </c>
      <c r="D1445" s="4" t="s">
        <v>20</v>
      </c>
      <c r="E1445" s="5">
        <f>E1444*B3798</f>
        <v>2145.3620000000001</v>
      </c>
    </row>
    <row r="1446" spans="1:5" x14ac:dyDescent="0.25">
      <c r="A1446" s="6" t="s">
        <v>760</v>
      </c>
      <c r="B1446" s="11" t="s">
        <v>40</v>
      </c>
      <c r="D1446" s="4" t="s">
        <v>60</v>
      </c>
      <c r="E1446" s="5">
        <f>E1444*B3799</f>
        <v>4438.6799999999994</v>
      </c>
    </row>
    <row r="1447" spans="1:5" x14ac:dyDescent="0.25">
      <c r="A1447" s="6" t="s">
        <v>760</v>
      </c>
      <c r="B1447" s="6" t="s">
        <v>46</v>
      </c>
      <c r="D1447" s="4" t="s">
        <v>47</v>
      </c>
      <c r="E1447" s="5">
        <v>0</v>
      </c>
    </row>
    <row r="1448" spans="1:5" x14ac:dyDescent="0.25">
      <c r="A1448" s="6" t="s">
        <v>760</v>
      </c>
      <c r="B1448" s="6" t="s">
        <v>48</v>
      </c>
      <c r="D1448" s="4" t="s">
        <v>761</v>
      </c>
    </row>
    <row r="1449" spans="1:5" x14ac:dyDescent="0.25">
      <c r="A1449" s="6" t="s">
        <v>760</v>
      </c>
      <c r="B1449" s="6" t="s">
        <v>762</v>
      </c>
      <c r="D1449" s="4" t="s">
        <v>763</v>
      </c>
      <c r="E1449" s="5">
        <v>0</v>
      </c>
    </row>
    <row r="1451" spans="1:5" x14ac:dyDescent="0.25">
      <c r="A1451" s="6" t="s">
        <v>764</v>
      </c>
      <c r="B1451" s="6" t="s">
        <v>4</v>
      </c>
      <c r="C1451" s="6" t="s">
        <v>4</v>
      </c>
      <c r="D1451" s="4" t="s">
        <v>4</v>
      </c>
      <c r="E1451" s="5">
        <f>SUM(E1444:E1449)</f>
        <v>154540.04199999999</v>
      </c>
    </row>
    <row r="1453" spans="1:5" x14ac:dyDescent="0.25">
      <c r="A1453" s="11" t="s">
        <v>765</v>
      </c>
    </row>
    <row r="1454" spans="1:5" x14ac:dyDescent="0.25">
      <c r="A1454" s="6" t="s">
        <v>12</v>
      </c>
    </row>
    <row r="1455" spans="1:5" x14ac:dyDescent="0.25">
      <c r="A1455" s="11" t="s">
        <v>766</v>
      </c>
      <c r="B1455" s="11" t="s">
        <v>14</v>
      </c>
      <c r="D1455" s="4" t="s">
        <v>15</v>
      </c>
      <c r="E1455" s="5">
        <v>51924</v>
      </c>
    </row>
    <row r="1456" spans="1:5" x14ac:dyDescent="0.25">
      <c r="A1456" s="11" t="s">
        <v>766</v>
      </c>
      <c r="B1456" s="11" t="s">
        <v>25</v>
      </c>
      <c r="D1456" s="4" t="s">
        <v>58</v>
      </c>
      <c r="E1456" s="5">
        <f>190*2</f>
        <v>380</v>
      </c>
    </row>
    <row r="1457" spans="1:5" x14ac:dyDescent="0.25">
      <c r="A1457" s="11" t="s">
        <v>766</v>
      </c>
      <c r="B1457" s="11" t="s">
        <v>17</v>
      </c>
      <c r="D1457" s="4" t="s">
        <v>18</v>
      </c>
      <c r="E1457" s="5">
        <f>(E1455+E1456)*B3801</f>
        <v>3242.848</v>
      </c>
    </row>
    <row r="1458" spans="1:5" x14ac:dyDescent="0.25">
      <c r="A1458" s="11" t="s">
        <v>766</v>
      </c>
      <c r="B1458" s="11" t="s">
        <v>19</v>
      </c>
      <c r="D1458" s="4" t="s">
        <v>20</v>
      </c>
      <c r="E1458" s="5">
        <f>(E1455+E1456)*B3802</f>
        <v>758.40800000000002</v>
      </c>
    </row>
    <row r="1459" spans="1:5" x14ac:dyDescent="0.25">
      <c r="A1459" s="11" t="s">
        <v>766</v>
      </c>
      <c r="B1459" s="11" t="s">
        <v>21</v>
      </c>
      <c r="D1459" s="4" t="s">
        <v>22</v>
      </c>
      <c r="E1459" s="5">
        <f>(E1455+E1456)*B3803</f>
        <v>12207.7536</v>
      </c>
    </row>
    <row r="1461" spans="1:5" x14ac:dyDescent="0.25">
      <c r="A1461" s="6" t="s">
        <v>767</v>
      </c>
      <c r="E1461" s="5">
        <f>SUM(E1455:E1459)</f>
        <v>68513.009600000005</v>
      </c>
    </row>
    <row r="1464" spans="1:5" x14ac:dyDescent="0.25">
      <c r="A1464" s="6" t="s">
        <v>768</v>
      </c>
    </row>
    <row r="1465" spans="1:5" x14ac:dyDescent="0.25">
      <c r="A1465" s="6" t="s">
        <v>12</v>
      </c>
    </row>
    <row r="1466" spans="1:5" x14ac:dyDescent="0.25">
      <c r="A1466" s="6" t="s">
        <v>769</v>
      </c>
      <c r="B1466" s="6" t="s">
        <v>53</v>
      </c>
      <c r="D1466" s="4" t="s">
        <v>54</v>
      </c>
      <c r="E1466" s="5">
        <v>59912</v>
      </c>
    </row>
    <row r="1467" spans="1:5" x14ac:dyDescent="0.25">
      <c r="A1467" s="6" t="s">
        <v>769</v>
      </c>
      <c r="B1467" s="6" t="s">
        <v>19</v>
      </c>
      <c r="D1467" s="4" t="s">
        <v>20</v>
      </c>
      <c r="E1467" s="5">
        <f>E1466*B3798</f>
        <v>868.72400000000005</v>
      </c>
    </row>
    <row r="1468" spans="1:5" x14ac:dyDescent="0.25">
      <c r="A1468" s="6" t="s">
        <v>769</v>
      </c>
      <c r="B1468" s="11" t="s">
        <v>40</v>
      </c>
      <c r="D1468" s="4" t="s">
        <v>60</v>
      </c>
      <c r="E1468" s="5">
        <f>E1466*B3799</f>
        <v>1797.36</v>
      </c>
    </row>
    <row r="1470" spans="1:5" x14ac:dyDescent="0.25">
      <c r="A1470" s="6" t="s">
        <v>770</v>
      </c>
      <c r="B1470" s="6" t="s">
        <v>4</v>
      </c>
      <c r="C1470" s="6" t="s">
        <v>4</v>
      </c>
      <c r="D1470" s="4" t="s">
        <v>4</v>
      </c>
      <c r="E1470" s="5">
        <f>E1466+E1467+E1468</f>
        <v>62578.084000000003</v>
      </c>
    </row>
    <row r="1472" spans="1:5" x14ac:dyDescent="0.25">
      <c r="A1472" s="6" t="s">
        <v>771</v>
      </c>
    </row>
    <row r="1473" spans="1:6" x14ac:dyDescent="0.25">
      <c r="A1473" s="6" t="s">
        <v>12</v>
      </c>
    </row>
    <row r="1474" spans="1:6" x14ac:dyDescent="0.25">
      <c r="A1474" s="6" t="s">
        <v>772</v>
      </c>
      <c r="B1474" s="6" t="s">
        <v>53</v>
      </c>
      <c r="D1474" s="4" t="s">
        <v>54</v>
      </c>
      <c r="E1474" s="5">
        <v>43736</v>
      </c>
    </row>
    <row r="1475" spans="1:6" x14ac:dyDescent="0.25">
      <c r="A1475" s="6" t="s">
        <v>772</v>
      </c>
      <c r="B1475" s="6" t="s">
        <v>14</v>
      </c>
      <c r="D1475" s="4" t="s">
        <v>15</v>
      </c>
      <c r="E1475" s="5">
        <f>25465-25465</f>
        <v>0</v>
      </c>
    </row>
    <row r="1476" spans="1:6" x14ac:dyDescent="0.25">
      <c r="A1476" s="6" t="s">
        <v>772</v>
      </c>
      <c r="B1476" s="6" t="s">
        <v>17</v>
      </c>
      <c r="D1476" s="4" t="s">
        <v>18</v>
      </c>
      <c r="E1476" s="5">
        <f>E1475*B3801</f>
        <v>0</v>
      </c>
      <c r="F1476" s="4" t="s">
        <v>4</v>
      </c>
    </row>
    <row r="1477" spans="1:6" x14ac:dyDescent="0.25">
      <c r="A1477" s="6" t="s">
        <v>772</v>
      </c>
      <c r="B1477" s="6" t="s">
        <v>19</v>
      </c>
      <c r="D1477" s="4" t="s">
        <v>20</v>
      </c>
      <c r="E1477" s="5">
        <f>SUM(E1474:E1475)*B3802</f>
        <v>634.17200000000003</v>
      </c>
      <c r="F1477" s="4" t="s">
        <v>4</v>
      </c>
    </row>
    <row r="1478" spans="1:6" x14ac:dyDescent="0.25">
      <c r="A1478" s="6" t="s">
        <v>772</v>
      </c>
      <c r="B1478" s="11" t="s">
        <v>40</v>
      </c>
      <c r="D1478" s="4" t="s">
        <v>60</v>
      </c>
      <c r="E1478" s="5">
        <f>E1474*B3799</f>
        <v>1312.08</v>
      </c>
    </row>
    <row r="1479" spans="1:6" x14ac:dyDescent="0.25">
      <c r="A1479" s="6" t="s">
        <v>772</v>
      </c>
      <c r="B1479" s="11" t="s">
        <v>21</v>
      </c>
      <c r="D1479" s="4" t="s">
        <v>22</v>
      </c>
      <c r="E1479" s="5">
        <f>E1475*B3803</f>
        <v>0</v>
      </c>
    </row>
    <row r="1480" spans="1:6" x14ac:dyDescent="0.25">
      <c r="A1480" s="6" t="s">
        <v>772</v>
      </c>
      <c r="B1480" s="6" t="s">
        <v>46</v>
      </c>
      <c r="D1480" s="4" t="s">
        <v>47</v>
      </c>
      <c r="E1480" s="5">
        <v>0</v>
      </c>
      <c r="F1480" s="4" t="s">
        <v>4</v>
      </c>
    </row>
    <row r="1481" spans="1:6" x14ac:dyDescent="0.25">
      <c r="A1481" s="6" t="s">
        <v>772</v>
      </c>
      <c r="B1481" s="6" t="s">
        <v>690</v>
      </c>
      <c r="D1481" s="4" t="s">
        <v>691</v>
      </c>
      <c r="E1481" s="5">
        <v>0</v>
      </c>
      <c r="F1481" s="4" t="s">
        <v>4</v>
      </c>
    </row>
    <row r="1482" spans="1:6" x14ac:dyDescent="0.25">
      <c r="A1482" s="6" t="s">
        <v>772</v>
      </c>
      <c r="B1482" s="6" t="s">
        <v>498</v>
      </c>
      <c r="D1482" s="4" t="s">
        <v>499</v>
      </c>
      <c r="E1482" s="5">
        <v>0</v>
      </c>
      <c r="F1482" s="4" t="s">
        <v>4</v>
      </c>
    </row>
    <row r="1483" spans="1:6" x14ac:dyDescent="0.25">
      <c r="A1483" s="6" t="s">
        <v>772</v>
      </c>
      <c r="B1483" s="6" t="s">
        <v>74</v>
      </c>
      <c r="D1483" s="4" t="s">
        <v>773</v>
      </c>
      <c r="E1483" s="5">
        <v>0</v>
      </c>
      <c r="F1483" s="4" t="s">
        <v>4</v>
      </c>
    </row>
    <row r="1484" spans="1:6" x14ac:dyDescent="0.25">
      <c r="A1484" s="6" t="s">
        <v>772</v>
      </c>
      <c r="B1484" s="11" t="s">
        <v>80</v>
      </c>
      <c r="D1484" s="4" t="s">
        <v>376</v>
      </c>
      <c r="E1484" s="5">
        <v>0</v>
      </c>
    </row>
    <row r="1486" spans="1:6" x14ac:dyDescent="0.25">
      <c r="A1486" s="6" t="s">
        <v>774</v>
      </c>
      <c r="B1486" s="6" t="s">
        <v>4</v>
      </c>
      <c r="C1486" s="6" t="s">
        <v>4</v>
      </c>
      <c r="D1486" s="4" t="s">
        <v>4</v>
      </c>
      <c r="E1486" s="5">
        <f>SUM(E1474:E1484)</f>
        <v>45682.252</v>
      </c>
    </row>
    <row r="1488" spans="1:6" x14ac:dyDescent="0.25">
      <c r="A1488" s="6" t="s">
        <v>775</v>
      </c>
    </row>
    <row r="1489" spans="1:5" x14ac:dyDescent="0.25">
      <c r="A1489" s="6" t="s">
        <v>12</v>
      </c>
    </row>
    <row r="1490" spans="1:5" x14ac:dyDescent="0.25">
      <c r="A1490" s="6" t="s">
        <v>776</v>
      </c>
      <c r="B1490" s="6" t="s">
        <v>53</v>
      </c>
      <c r="D1490" s="4" t="s">
        <v>54</v>
      </c>
      <c r="E1490" s="5">
        <v>286896</v>
      </c>
    </row>
    <row r="1491" spans="1:5" x14ac:dyDescent="0.25">
      <c r="A1491" s="6" t="s">
        <v>776</v>
      </c>
      <c r="B1491" s="6" t="s">
        <v>14</v>
      </c>
      <c r="D1491" s="4" t="s">
        <v>15</v>
      </c>
      <c r="E1491" s="5">
        <v>181381</v>
      </c>
    </row>
    <row r="1492" spans="1:5" x14ac:dyDescent="0.25">
      <c r="A1492" s="6" t="s">
        <v>776</v>
      </c>
      <c r="B1492" s="6" t="s">
        <v>17</v>
      </c>
      <c r="D1492" s="4" t="s">
        <v>18</v>
      </c>
      <c r="E1492" s="5">
        <f>E1491*B3801</f>
        <v>11245.621999999999</v>
      </c>
    </row>
    <row r="1493" spans="1:5" x14ac:dyDescent="0.25">
      <c r="A1493" s="6" t="s">
        <v>776</v>
      </c>
      <c r="B1493" s="6" t="s">
        <v>19</v>
      </c>
      <c r="D1493" s="4" t="s">
        <v>20</v>
      </c>
      <c r="E1493" s="5">
        <f>SUM(E1490:E1491)*B3802</f>
        <v>6790.0165000000006</v>
      </c>
    </row>
    <row r="1494" spans="1:5" x14ac:dyDescent="0.25">
      <c r="A1494" s="6" t="s">
        <v>776</v>
      </c>
      <c r="B1494" s="6" t="s">
        <v>40</v>
      </c>
      <c r="D1494" s="4" t="s">
        <v>60</v>
      </c>
      <c r="E1494" s="5">
        <f>E1490*B3799</f>
        <v>8606.8799999999992</v>
      </c>
    </row>
    <row r="1495" spans="1:5" x14ac:dyDescent="0.25">
      <c r="A1495" s="6" t="s">
        <v>776</v>
      </c>
      <c r="B1495" s="6" t="s">
        <v>21</v>
      </c>
      <c r="D1495" s="4" t="s">
        <v>22</v>
      </c>
      <c r="E1495" s="5">
        <f>E1491*B3803</f>
        <v>42334.325400000002</v>
      </c>
    </row>
    <row r="1496" spans="1:5" x14ac:dyDescent="0.25">
      <c r="A1496" s="6" t="s">
        <v>776</v>
      </c>
      <c r="B1496" s="11" t="s">
        <v>380</v>
      </c>
      <c r="D1496" s="4" t="s">
        <v>172</v>
      </c>
      <c r="E1496" s="5">
        <v>0</v>
      </c>
    </row>
    <row r="1497" spans="1:5" x14ac:dyDescent="0.25">
      <c r="A1497" s="6" t="s">
        <v>776</v>
      </c>
      <c r="B1497" s="6" t="s">
        <v>88</v>
      </c>
      <c r="D1497" s="4" t="s">
        <v>523</v>
      </c>
      <c r="E1497" s="5">
        <v>0</v>
      </c>
    </row>
    <row r="1498" spans="1:5" x14ac:dyDescent="0.25">
      <c r="A1498" s="6" t="s">
        <v>776</v>
      </c>
      <c r="B1498" s="6" t="s">
        <v>66</v>
      </c>
      <c r="D1498" s="4" t="s">
        <v>67</v>
      </c>
      <c r="E1498" s="5">
        <v>0</v>
      </c>
    </row>
    <row r="1499" spans="1:5" x14ac:dyDescent="0.25">
      <c r="A1499" s="6" t="s">
        <v>776</v>
      </c>
      <c r="B1499" s="11" t="s">
        <v>472</v>
      </c>
      <c r="D1499" s="4" t="s">
        <v>777</v>
      </c>
      <c r="E1499" s="5">
        <v>0</v>
      </c>
    </row>
    <row r="1500" spans="1:5" x14ac:dyDescent="0.25">
      <c r="A1500" s="6" t="s">
        <v>776</v>
      </c>
      <c r="B1500" s="6" t="s">
        <v>46</v>
      </c>
      <c r="D1500" s="4" t="s">
        <v>47</v>
      </c>
      <c r="E1500" s="5">
        <v>0</v>
      </c>
    </row>
    <row r="1501" spans="1:5" x14ac:dyDescent="0.25">
      <c r="A1501" s="6" t="s">
        <v>776</v>
      </c>
      <c r="B1501" s="11" t="s">
        <v>72</v>
      </c>
      <c r="D1501" s="4" t="s">
        <v>111</v>
      </c>
      <c r="E1501" s="5">
        <v>0</v>
      </c>
    </row>
    <row r="1502" spans="1:5" x14ac:dyDescent="0.25">
      <c r="A1502" s="6" t="s">
        <v>776</v>
      </c>
      <c r="B1502" s="11" t="s">
        <v>48</v>
      </c>
      <c r="D1502" s="4" t="s">
        <v>49</v>
      </c>
      <c r="E1502" s="5">
        <v>0</v>
      </c>
    </row>
    <row r="1503" spans="1:5" x14ac:dyDescent="0.25">
      <c r="A1503" s="6" t="s">
        <v>776</v>
      </c>
      <c r="B1503" s="11" t="s">
        <v>112</v>
      </c>
      <c r="D1503" s="4" t="s">
        <v>297</v>
      </c>
      <c r="E1503" s="5">
        <v>0</v>
      </c>
    </row>
    <row r="1504" spans="1:5" x14ac:dyDescent="0.25">
      <c r="A1504" s="6" t="s">
        <v>776</v>
      </c>
      <c r="B1504" s="11" t="s">
        <v>78</v>
      </c>
      <c r="D1504" s="4" t="s">
        <v>620</v>
      </c>
      <c r="E1504" s="5">
        <v>0</v>
      </c>
    </row>
    <row r="1506" spans="1:6" x14ac:dyDescent="0.25">
      <c r="A1506" s="6" t="s">
        <v>778</v>
      </c>
      <c r="B1506" s="6" t="s">
        <v>4</v>
      </c>
      <c r="C1506" s="6" t="s">
        <v>4</v>
      </c>
      <c r="D1506" s="4" t="s">
        <v>4</v>
      </c>
      <c r="E1506" s="5">
        <f>SUM(E1490:E1504)</f>
        <v>537253.84389999998</v>
      </c>
    </row>
    <row r="1508" spans="1:6" x14ac:dyDescent="0.25">
      <c r="A1508" s="6" t="s">
        <v>779</v>
      </c>
    </row>
    <row r="1509" spans="1:6" x14ac:dyDescent="0.25">
      <c r="A1509" s="6" t="s">
        <v>12</v>
      </c>
    </row>
    <row r="1510" spans="1:6" x14ac:dyDescent="0.25">
      <c r="A1510" s="6" t="s">
        <v>780</v>
      </c>
      <c r="B1510" s="6" t="s">
        <v>14</v>
      </c>
      <c r="D1510" s="4" t="s">
        <v>15</v>
      </c>
      <c r="E1510" s="5">
        <v>243118</v>
      </c>
    </row>
    <row r="1511" spans="1:6" x14ac:dyDescent="0.25">
      <c r="A1511" s="6" t="s">
        <v>780</v>
      </c>
      <c r="B1511" s="11" t="s">
        <v>25</v>
      </c>
      <c r="D1511" s="4" t="s">
        <v>58</v>
      </c>
      <c r="E1511" s="5">
        <f>1000+3500</f>
        <v>4500</v>
      </c>
    </row>
    <row r="1512" spans="1:6" x14ac:dyDescent="0.25">
      <c r="A1512" s="6" t="s">
        <v>780</v>
      </c>
      <c r="B1512" s="6" t="s">
        <v>36</v>
      </c>
      <c r="D1512" s="4" t="s">
        <v>157</v>
      </c>
      <c r="E1512" s="5">
        <v>3000</v>
      </c>
    </row>
    <row r="1513" spans="1:6" x14ac:dyDescent="0.25">
      <c r="A1513" s="6" t="s">
        <v>780</v>
      </c>
      <c r="B1513" s="6" t="s">
        <v>17</v>
      </c>
      <c r="D1513" s="4" t="s">
        <v>18</v>
      </c>
      <c r="E1513" s="5">
        <f>SUM(E1510:E1512)*B3801</f>
        <v>15538.316000000001</v>
      </c>
      <c r="F1513" s="4" t="s">
        <v>4</v>
      </c>
    </row>
    <row r="1514" spans="1:6" x14ac:dyDescent="0.25">
      <c r="A1514" s="6" t="s">
        <v>780</v>
      </c>
      <c r="B1514" s="6" t="s">
        <v>19</v>
      </c>
      <c r="D1514" s="4" t="s">
        <v>20</v>
      </c>
      <c r="E1514" s="5">
        <f>SUM(E1510:E1512)*B3802</f>
        <v>3633.9610000000002</v>
      </c>
      <c r="F1514" s="4" t="s">
        <v>4</v>
      </c>
    </row>
    <row r="1515" spans="1:6" x14ac:dyDescent="0.25">
      <c r="A1515" s="6" t="s">
        <v>780</v>
      </c>
      <c r="B1515" s="6" t="s">
        <v>21</v>
      </c>
      <c r="D1515" s="4" t="s">
        <v>22</v>
      </c>
      <c r="E1515" s="5">
        <f>SUM(E1510:E1512)*B3803</f>
        <v>58494.241199999997</v>
      </c>
      <c r="F1515" s="4" t="s">
        <v>4</v>
      </c>
    </row>
    <row r="1517" spans="1:6" x14ac:dyDescent="0.25">
      <c r="A1517" s="6" t="s">
        <v>781</v>
      </c>
      <c r="B1517" s="6" t="s">
        <v>4</v>
      </c>
      <c r="C1517" s="6" t="s">
        <v>4</v>
      </c>
      <c r="D1517" s="4" t="s">
        <v>4</v>
      </c>
      <c r="E1517" s="5">
        <f>SUM(E1510:E1515)</f>
        <v>328284.51819999999</v>
      </c>
    </row>
    <row r="1519" spans="1:6" x14ac:dyDescent="0.25">
      <c r="A1519" s="6" t="s">
        <v>782</v>
      </c>
    </row>
    <row r="1520" spans="1:6" x14ac:dyDescent="0.25">
      <c r="A1520" s="6" t="s">
        <v>12</v>
      </c>
    </row>
    <row r="1521" spans="1:6" x14ac:dyDescent="0.25">
      <c r="A1521" s="6" t="s">
        <v>783</v>
      </c>
      <c r="B1521" s="6" t="s">
        <v>14</v>
      </c>
      <c r="D1521" s="4" t="s">
        <v>15</v>
      </c>
      <c r="E1521" s="5">
        <v>59983</v>
      </c>
    </row>
    <row r="1522" spans="1:6" x14ac:dyDescent="0.25">
      <c r="A1522" s="6" t="s">
        <v>783</v>
      </c>
      <c r="B1522" s="6" t="s">
        <v>17</v>
      </c>
      <c r="D1522" s="4" t="s">
        <v>18</v>
      </c>
      <c r="E1522" s="5">
        <f>E1521*B3801</f>
        <v>3718.9459999999999</v>
      </c>
    </row>
    <row r="1523" spans="1:6" x14ac:dyDescent="0.25">
      <c r="A1523" s="6" t="s">
        <v>783</v>
      </c>
      <c r="B1523" s="6" t="s">
        <v>19</v>
      </c>
      <c r="D1523" s="4" t="s">
        <v>20</v>
      </c>
      <c r="E1523" s="5">
        <f>E1521*B3802</f>
        <v>869.75350000000003</v>
      </c>
    </row>
    <row r="1524" spans="1:6" x14ac:dyDescent="0.25">
      <c r="A1524" s="6" t="s">
        <v>783</v>
      </c>
      <c r="B1524" s="6" t="s">
        <v>21</v>
      </c>
      <c r="D1524" s="4" t="s">
        <v>22</v>
      </c>
      <c r="E1524" s="5">
        <f>E1521*B3803</f>
        <v>14000.0322</v>
      </c>
    </row>
    <row r="1525" spans="1:6" x14ac:dyDescent="0.25">
      <c r="A1525" s="6" t="s">
        <v>783</v>
      </c>
      <c r="B1525" s="6" t="s">
        <v>159</v>
      </c>
      <c r="D1525" s="4" t="s">
        <v>160</v>
      </c>
      <c r="E1525" s="5">
        <v>800</v>
      </c>
      <c r="F1525" s="4" t="s">
        <v>784</v>
      </c>
    </row>
    <row r="1527" spans="1:6" x14ac:dyDescent="0.25">
      <c r="A1527" s="6" t="s">
        <v>785</v>
      </c>
      <c r="B1527" s="6" t="s">
        <v>4</v>
      </c>
      <c r="C1527" s="6" t="s">
        <v>4</v>
      </c>
      <c r="D1527" s="4" t="s">
        <v>4</v>
      </c>
      <c r="E1527" s="5">
        <f>SUM(E1521:E1525)</f>
        <v>79371.731699999989</v>
      </c>
    </row>
    <row r="1528" spans="1:6" ht="16.5" customHeight="1" x14ac:dyDescent="0.25"/>
    <row r="1529" spans="1:6" x14ac:dyDescent="0.25">
      <c r="A1529" s="6" t="s">
        <v>786</v>
      </c>
    </row>
    <row r="1530" spans="1:6" x14ac:dyDescent="0.25">
      <c r="A1530" s="6" t="s">
        <v>12</v>
      </c>
    </row>
    <row r="1531" spans="1:6" x14ac:dyDescent="0.25">
      <c r="A1531" s="6" t="s">
        <v>787</v>
      </c>
      <c r="B1531" s="6" t="s">
        <v>53</v>
      </c>
      <c r="D1531" s="4" t="s">
        <v>54</v>
      </c>
      <c r="E1531" s="5">
        <v>1555523</v>
      </c>
    </row>
    <row r="1532" spans="1:6" x14ac:dyDescent="0.25">
      <c r="A1532" s="6" t="s">
        <v>787</v>
      </c>
      <c r="B1532" s="11" t="s">
        <v>32</v>
      </c>
      <c r="D1532" s="4" t="s">
        <v>33</v>
      </c>
      <c r="E1532" s="5">
        <v>0</v>
      </c>
    </row>
    <row r="1533" spans="1:6" x14ac:dyDescent="0.25">
      <c r="A1533" s="6" t="s">
        <v>787</v>
      </c>
      <c r="B1533" s="11" t="s">
        <v>34</v>
      </c>
      <c r="D1533" s="4" t="s">
        <v>35</v>
      </c>
      <c r="E1533" s="5">
        <v>2000</v>
      </c>
    </row>
    <row r="1534" spans="1:6" x14ac:dyDescent="0.25">
      <c r="A1534" s="6" t="s">
        <v>787</v>
      </c>
      <c r="B1534" s="6" t="s">
        <v>14</v>
      </c>
      <c r="D1534" s="4" t="s">
        <v>15</v>
      </c>
      <c r="E1534" s="5">
        <v>73302</v>
      </c>
    </row>
    <row r="1535" spans="1:6" x14ac:dyDescent="0.25">
      <c r="A1535" s="6" t="s">
        <v>787</v>
      </c>
      <c r="B1535" s="6" t="s">
        <v>17</v>
      </c>
      <c r="D1535" s="4" t="s">
        <v>18</v>
      </c>
      <c r="E1535" s="5">
        <f>E1534*B3801</f>
        <v>4544.7240000000002</v>
      </c>
    </row>
    <row r="1536" spans="1:6" x14ac:dyDescent="0.25">
      <c r="A1536" s="6" t="s">
        <v>787</v>
      </c>
      <c r="B1536" s="6" t="s">
        <v>19</v>
      </c>
      <c r="D1536" s="4" t="s">
        <v>20</v>
      </c>
      <c r="E1536" s="5">
        <f>SUM(E1531:E1534)*B3802</f>
        <v>23646.962500000001</v>
      </c>
      <c r="F1536" s="4" t="s">
        <v>4</v>
      </c>
    </row>
    <row r="1537" spans="1:6" x14ac:dyDescent="0.25">
      <c r="A1537" s="6" t="s">
        <v>787</v>
      </c>
      <c r="B1537" s="6" t="s">
        <v>40</v>
      </c>
      <c r="D1537" s="4" t="s">
        <v>60</v>
      </c>
      <c r="E1537" s="5">
        <f>SUM(E1531:E1533)*B3799</f>
        <v>46725.689999999995</v>
      </c>
    </row>
    <row r="1538" spans="1:6" x14ac:dyDescent="0.25">
      <c r="A1538" s="6" t="s">
        <v>787</v>
      </c>
      <c r="B1538" s="6" t="s">
        <v>40</v>
      </c>
      <c r="D1538" s="4" t="s">
        <v>60</v>
      </c>
      <c r="E1538" s="5">
        <f>(0)*0.2214</f>
        <v>0</v>
      </c>
      <c r="F1538" s="4" t="s">
        <v>788</v>
      </c>
    </row>
    <row r="1539" spans="1:6" x14ac:dyDescent="0.25">
      <c r="A1539" s="6" t="s">
        <v>787</v>
      </c>
      <c r="B1539" s="6" t="s">
        <v>21</v>
      </c>
      <c r="D1539" s="4" t="s">
        <v>22</v>
      </c>
      <c r="E1539" s="5">
        <f>E1534*B3803</f>
        <v>17108.686799999999</v>
      </c>
      <c r="F1539" s="4" t="s">
        <v>4</v>
      </c>
    </row>
    <row r="1540" spans="1:6" x14ac:dyDescent="0.25">
      <c r="A1540" s="6" t="s">
        <v>787</v>
      </c>
      <c r="B1540" s="6" t="s">
        <v>171</v>
      </c>
      <c r="D1540" s="4" t="s">
        <v>516</v>
      </c>
    </row>
    <row r="1541" spans="1:6" x14ac:dyDescent="0.25">
      <c r="A1541" s="6" t="s">
        <v>787</v>
      </c>
      <c r="B1541" s="11" t="s">
        <v>70</v>
      </c>
      <c r="D1541" s="4" t="s">
        <v>335</v>
      </c>
      <c r="E1541" s="5">
        <v>0</v>
      </c>
      <c r="F1541" s="4" t="s">
        <v>4</v>
      </c>
    </row>
    <row r="1542" spans="1:6" x14ac:dyDescent="0.25">
      <c r="A1542" s="6" t="s">
        <v>787</v>
      </c>
      <c r="B1542" s="6" t="s">
        <v>46</v>
      </c>
      <c r="D1542" s="4" t="s">
        <v>47</v>
      </c>
      <c r="E1542" s="5">
        <v>97461</v>
      </c>
      <c r="F1542" s="4" t="s">
        <v>789</v>
      </c>
    </row>
    <row r="1543" spans="1:6" x14ac:dyDescent="0.25">
      <c r="A1543" s="6" t="s">
        <v>787</v>
      </c>
      <c r="B1543" s="6" t="s">
        <v>790</v>
      </c>
      <c r="D1543" s="4" t="s">
        <v>791</v>
      </c>
    </row>
    <row r="1544" spans="1:6" x14ac:dyDescent="0.25">
      <c r="A1544" s="6" t="s">
        <v>787</v>
      </c>
      <c r="B1544" s="6" t="s">
        <v>48</v>
      </c>
      <c r="D1544" s="4" t="s">
        <v>761</v>
      </c>
    </row>
    <row r="1545" spans="1:6" x14ac:dyDescent="0.25">
      <c r="A1545" s="6" t="s">
        <v>787</v>
      </c>
      <c r="B1545" s="11" t="s">
        <v>792</v>
      </c>
      <c r="D1545" s="4" t="s">
        <v>570</v>
      </c>
      <c r="E1545" s="5">
        <f>70000-70000</f>
        <v>0</v>
      </c>
    </row>
    <row r="1546" spans="1:6" x14ac:dyDescent="0.25">
      <c r="A1546" s="6" t="s">
        <v>787</v>
      </c>
      <c r="B1546" s="6" t="s">
        <v>479</v>
      </c>
      <c r="D1546" s="4" t="s">
        <v>502</v>
      </c>
      <c r="E1546" s="5">
        <v>0</v>
      </c>
    </row>
    <row r="1548" spans="1:6" x14ac:dyDescent="0.25">
      <c r="A1548" s="6" t="s">
        <v>793</v>
      </c>
      <c r="B1548" s="6" t="s">
        <v>4</v>
      </c>
      <c r="C1548" s="6" t="s">
        <v>4</v>
      </c>
      <c r="D1548" s="4" t="s">
        <v>4</v>
      </c>
      <c r="E1548" s="5">
        <f>SUM(E1531:E1546)</f>
        <v>1820312.0632999998</v>
      </c>
    </row>
    <row r="1550" spans="1:6" x14ac:dyDescent="0.25">
      <c r="A1550" s="6" t="s">
        <v>794</v>
      </c>
    </row>
    <row r="1551" spans="1:6" x14ac:dyDescent="0.25">
      <c r="A1551" s="6" t="s">
        <v>12</v>
      </c>
    </row>
    <row r="1552" spans="1:6" x14ac:dyDescent="0.25">
      <c r="A1552" s="6" t="s">
        <v>795</v>
      </c>
      <c r="B1552" s="6" t="s">
        <v>53</v>
      </c>
      <c r="D1552" s="4" t="s">
        <v>54</v>
      </c>
      <c r="E1552" s="5">
        <v>75794</v>
      </c>
    </row>
    <row r="1553" spans="1:6" x14ac:dyDescent="0.25">
      <c r="A1553" s="6" t="s">
        <v>795</v>
      </c>
      <c r="B1553" s="6" t="s">
        <v>55</v>
      </c>
      <c r="D1553" s="4" t="s">
        <v>56</v>
      </c>
      <c r="E1553" s="5">
        <v>7785</v>
      </c>
    </row>
    <row r="1554" spans="1:6" x14ac:dyDescent="0.25">
      <c r="A1554" s="6" t="s">
        <v>795</v>
      </c>
      <c r="B1554" s="6" t="s">
        <v>32</v>
      </c>
      <c r="D1554" s="4" t="s">
        <v>33</v>
      </c>
      <c r="E1554" s="5">
        <v>8133</v>
      </c>
    </row>
    <row r="1555" spans="1:6" x14ac:dyDescent="0.25">
      <c r="A1555" s="6" t="s">
        <v>795</v>
      </c>
      <c r="B1555" s="6" t="s">
        <v>19</v>
      </c>
      <c r="D1555" s="4" t="s">
        <v>20</v>
      </c>
      <c r="E1555" s="5">
        <f>SUM(E1552:E1554)*B3798</f>
        <v>1329.8240000000001</v>
      </c>
    </row>
    <row r="1556" spans="1:6" x14ac:dyDescent="0.25">
      <c r="A1556" s="6" t="s">
        <v>795</v>
      </c>
      <c r="B1556" s="11" t="s">
        <v>40</v>
      </c>
      <c r="D1556" s="4" t="s">
        <v>60</v>
      </c>
      <c r="E1556" s="5">
        <f>SUM(E1552:E1554)*B3799</f>
        <v>2751.3599999999997</v>
      </c>
    </row>
    <row r="1558" spans="1:6" x14ac:dyDescent="0.25">
      <c r="A1558" s="6" t="s">
        <v>796</v>
      </c>
      <c r="B1558" s="6" t="s">
        <v>4</v>
      </c>
      <c r="C1558" s="6" t="s">
        <v>4</v>
      </c>
      <c r="D1558" s="4" t="s">
        <v>4</v>
      </c>
      <c r="E1558" s="5">
        <f>SUM(E1552:E1556)</f>
        <v>95793.183999999994</v>
      </c>
    </row>
    <row r="1560" spans="1:6" x14ac:dyDescent="0.25">
      <c r="A1560" s="6" t="s">
        <v>797</v>
      </c>
    </row>
    <row r="1561" spans="1:6" x14ac:dyDescent="0.25">
      <c r="A1561" s="6" t="s">
        <v>12</v>
      </c>
    </row>
    <row r="1562" spans="1:6" x14ac:dyDescent="0.25">
      <c r="A1562" s="6" t="s">
        <v>798</v>
      </c>
      <c r="B1562" s="6" t="s">
        <v>53</v>
      </c>
      <c r="D1562" s="4" t="s">
        <v>54</v>
      </c>
      <c r="E1562" s="5">
        <v>453231</v>
      </c>
    </row>
    <row r="1563" spans="1:6" x14ac:dyDescent="0.25">
      <c r="A1563" s="6" t="s">
        <v>798</v>
      </c>
      <c r="B1563" s="6" t="s">
        <v>14</v>
      </c>
      <c r="D1563" s="4" t="s">
        <v>15</v>
      </c>
      <c r="E1563" s="5">
        <v>115250</v>
      </c>
    </row>
    <row r="1564" spans="1:6" x14ac:dyDescent="0.25">
      <c r="A1564" s="6" t="s">
        <v>798</v>
      </c>
      <c r="B1564" s="6" t="s">
        <v>17</v>
      </c>
      <c r="D1564" s="4" t="s">
        <v>18</v>
      </c>
      <c r="E1564" s="5">
        <f>E1563*B3801</f>
        <v>7145.5</v>
      </c>
      <c r="F1564" s="4" t="s">
        <v>4</v>
      </c>
    </row>
    <row r="1565" spans="1:6" x14ac:dyDescent="0.25">
      <c r="A1565" s="6" t="s">
        <v>798</v>
      </c>
      <c r="B1565" s="6" t="s">
        <v>19</v>
      </c>
      <c r="D1565" s="4" t="s">
        <v>20</v>
      </c>
      <c r="E1565" s="5">
        <f>SUM(E1562:E1563)*B3802</f>
        <v>8242.9745000000003</v>
      </c>
      <c r="F1565" s="4" t="s">
        <v>4</v>
      </c>
    </row>
    <row r="1566" spans="1:6" x14ac:dyDescent="0.25">
      <c r="A1566" s="6" t="s">
        <v>798</v>
      </c>
      <c r="B1566" s="11" t="s">
        <v>40</v>
      </c>
      <c r="D1566" s="4" t="s">
        <v>60</v>
      </c>
      <c r="E1566" s="5">
        <f>E1562*B3799+14000</f>
        <v>27596.93</v>
      </c>
      <c r="F1566" s="4" t="s">
        <v>799</v>
      </c>
    </row>
    <row r="1567" spans="1:6" x14ac:dyDescent="0.25">
      <c r="A1567" s="6" t="s">
        <v>798</v>
      </c>
      <c r="B1567" s="6" t="s">
        <v>21</v>
      </c>
      <c r="D1567" s="4" t="s">
        <v>22</v>
      </c>
      <c r="E1567" s="5">
        <f>E1563*B3803</f>
        <v>26899.35</v>
      </c>
      <c r="F1567" s="4" t="s">
        <v>4</v>
      </c>
    </row>
    <row r="1569" spans="1:5" x14ac:dyDescent="0.25">
      <c r="A1569" s="6" t="s">
        <v>800</v>
      </c>
      <c r="B1569" s="6" t="s">
        <v>4</v>
      </c>
      <c r="C1569" s="6" t="s">
        <v>4</v>
      </c>
      <c r="D1569" s="4" t="s">
        <v>4</v>
      </c>
      <c r="E1569" s="5">
        <f>SUM(E1562:E1567)</f>
        <v>638365.75450000004</v>
      </c>
    </row>
    <row r="1570" spans="1:5" x14ac:dyDescent="0.25">
      <c r="A1570" s="6"/>
      <c r="B1570" s="6"/>
      <c r="C1570" s="6"/>
    </row>
    <row r="1571" spans="1:5" x14ac:dyDescent="0.25">
      <c r="A1571" s="6" t="s">
        <v>801</v>
      </c>
      <c r="B1571" s="6"/>
      <c r="C1571" s="6"/>
    </row>
    <row r="1572" spans="1:5" x14ac:dyDescent="0.25">
      <c r="A1572" s="6"/>
      <c r="B1572" s="6"/>
      <c r="C1572" s="6"/>
    </row>
    <row r="1573" spans="1:5" x14ac:dyDescent="0.25">
      <c r="A1573" s="6" t="s">
        <v>802</v>
      </c>
      <c r="B1573" s="6" t="s">
        <v>53</v>
      </c>
      <c r="C1573" s="6"/>
      <c r="D1573" s="4" t="s">
        <v>54</v>
      </c>
      <c r="E1573" s="5">
        <v>109438</v>
      </c>
    </row>
    <row r="1574" spans="1:5" x14ac:dyDescent="0.25">
      <c r="A1574" s="6" t="s">
        <v>802</v>
      </c>
      <c r="B1574" s="11" t="s">
        <v>14</v>
      </c>
      <c r="C1574" s="6"/>
      <c r="D1574" s="4" t="s">
        <v>15</v>
      </c>
      <c r="E1574" s="5">
        <f>27018-27018</f>
        <v>0</v>
      </c>
    </row>
    <row r="1575" spans="1:5" x14ac:dyDescent="0.25">
      <c r="A1575" s="6" t="s">
        <v>802</v>
      </c>
      <c r="B1575" s="6" t="s">
        <v>17</v>
      </c>
      <c r="D1575" s="4" t="s">
        <v>18</v>
      </c>
      <c r="E1575" s="5">
        <f>E1574*B3801</f>
        <v>0</v>
      </c>
    </row>
    <row r="1576" spans="1:5" x14ac:dyDescent="0.25">
      <c r="A1576" s="6" t="s">
        <v>802</v>
      </c>
      <c r="B1576" s="6" t="s">
        <v>19</v>
      </c>
      <c r="C1576" s="6"/>
      <c r="D1576" s="4" t="s">
        <v>20</v>
      </c>
      <c r="E1576" s="5">
        <f>(E1573+E1574)*B3802</f>
        <v>1586.8510000000001</v>
      </c>
    </row>
    <row r="1577" spans="1:5" x14ac:dyDescent="0.25">
      <c r="A1577" s="6" t="s">
        <v>802</v>
      </c>
      <c r="B1577" s="11" t="s">
        <v>40</v>
      </c>
      <c r="C1577" s="6"/>
      <c r="D1577" s="4" t="s">
        <v>60</v>
      </c>
      <c r="E1577" s="5">
        <f>E1573*B3799</f>
        <v>3283.14</v>
      </c>
    </row>
    <row r="1578" spans="1:5" x14ac:dyDescent="0.25">
      <c r="A1578" s="6" t="s">
        <v>802</v>
      </c>
      <c r="B1578" s="11" t="s">
        <v>21</v>
      </c>
      <c r="C1578" s="6"/>
      <c r="D1578" s="4" t="s">
        <v>22</v>
      </c>
      <c r="E1578" s="5">
        <f>E1574*B3803</f>
        <v>0</v>
      </c>
    </row>
    <row r="1579" spans="1:5" x14ac:dyDescent="0.25">
      <c r="A1579" s="6"/>
      <c r="B1579" s="6"/>
      <c r="C1579" s="6"/>
    </row>
    <row r="1580" spans="1:5" x14ac:dyDescent="0.25">
      <c r="A1580" s="6" t="s">
        <v>803</v>
      </c>
      <c r="B1580" s="6"/>
      <c r="C1580" s="6"/>
      <c r="E1580" s="5">
        <f>SUM(E1573:E1578)</f>
        <v>114307.99099999999</v>
      </c>
    </row>
    <row r="1581" spans="1:5" x14ac:dyDescent="0.25">
      <c r="A1581" s="6"/>
      <c r="B1581" s="6"/>
      <c r="C1581" s="6"/>
    </row>
    <row r="1582" spans="1:5" ht="15" hidden="1" customHeight="1" x14ac:dyDescent="0.25">
      <c r="A1582" s="6" t="s">
        <v>804</v>
      </c>
    </row>
    <row r="1583" spans="1:5" ht="15" hidden="1" customHeight="1" x14ac:dyDescent="0.25">
      <c r="A1583" s="6" t="s">
        <v>12</v>
      </c>
    </row>
    <row r="1584" spans="1:5" ht="15" hidden="1" customHeight="1" x14ac:dyDescent="0.25">
      <c r="A1584" s="6" t="s">
        <v>805</v>
      </c>
      <c r="B1584" s="6" t="s">
        <v>14</v>
      </c>
      <c r="D1584" s="4" t="s">
        <v>15</v>
      </c>
      <c r="E1584" s="5">
        <v>0</v>
      </c>
    </row>
    <row r="1585" spans="1:6" ht="15" hidden="1" customHeight="1" x14ac:dyDescent="0.25">
      <c r="A1585" s="6" t="s">
        <v>805</v>
      </c>
      <c r="B1585" s="6" t="s">
        <v>17</v>
      </c>
      <c r="D1585" s="4" t="s">
        <v>18</v>
      </c>
      <c r="E1585" s="5">
        <f>E1584*B3801</f>
        <v>0</v>
      </c>
    </row>
    <row r="1586" spans="1:6" ht="15" hidden="1" customHeight="1" x14ac:dyDescent="0.25">
      <c r="A1586" s="6" t="s">
        <v>805</v>
      </c>
      <c r="B1586" s="6" t="s">
        <v>19</v>
      </c>
      <c r="D1586" s="4" t="s">
        <v>20</v>
      </c>
      <c r="E1586" s="5">
        <f>E1584*B3802</f>
        <v>0</v>
      </c>
    </row>
    <row r="1587" spans="1:6" ht="15" hidden="1" customHeight="1" x14ac:dyDescent="0.25">
      <c r="A1587" s="6" t="s">
        <v>805</v>
      </c>
      <c r="B1587" s="6" t="s">
        <v>21</v>
      </c>
      <c r="D1587" s="4" t="s">
        <v>22</v>
      </c>
      <c r="E1587" s="5">
        <f>E1584*B3803</f>
        <v>0</v>
      </c>
    </row>
    <row r="1588" spans="1:6" ht="15" hidden="1" customHeight="1" x14ac:dyDescent="0.25">
      <c r="A1588" s="6" t="s">
        <v>805</v>
      </c>
      <c r="B1588" s="6" t="s">
        <v>46</v>
      </c>
      <c r="D1588" s="4" t="s">
        <v>47</v>
      </c>
      <c r="E1588" s="5">
        <v>0</v>
      </c>
    </row>
    <row r="1589" spans="1:6" ht="15" hidden="1" customHeight="1" x14ac:dyDescent="0.25"/>
    <row r="1590" spans="1:6" ht="15" hidden="1" customHeight="1" x14ac:dyDescent="0.25">
      <c r="A1590" s="6" t="s">
        <v>806</v>
      </c>
      <c r="B1590" s="6" t="s">
        <v>4</v>
      </c>
      <c r="C1590" s="6" t="s">
        <v>4</v>
      </c>
      <c r="D1590" s="4" t="s">
        <v>4</v>
      </c>
      <c r="E1590" s="5">
        <f>SUM(E1584:E1588)</f>
        <v>0</v>
      </c>
    </row>
    <row r="1591" spans="1:6" ht="15" hidden="1" customHeight="1" x14ac:dyDescent="0.25"/>
    <row r="1592" spans="1:6" x14ac:dyDescent="0.25">
      <c r="A1592" s="6" t="s">
        <v>807</v>
      </c>
    </row>
    <row r="1593" spans="1:6" x14ac:dyDescent="0.25">
      <c r="A1593" s="6" t="s">
        <v>12</v>
      </c>
    </row>
    <row r="1594" spans="1:6" x14ac:dyDescent="0.25">
      <c r="A1594" s="6" t="s">
        <v>808</v>
      </c>
      <c r="B1594" s="6" t="s">
        <v>53</v>
      </c>
      <c r="D1594" s="4" t="s">
        <v>54</v>
      </c>
      <c r="E1594" s="5">
        <v>123357</v>
      </c>
    </row>
    <row r="1595" spans="1:6" x14ac:dyDescent="0.25">
      <c r="A1595" s="6" t="s">
        <v>808</v>
      </c>
      <c r="B1595" s="11" t="s">
        <v>55</v>
      </c>
      <c r="D1595" s="4" t="s">
        <v>56</v>
      </c>
      <c r="E1595" s="5">
        <v>3408</v>
      </c>
    </row>
    <row r="1596" spans="1:6" x14ac:dyDescent="0.25">
      <c r="A1596" s="6" t="s">
        <v>808</v>
      </c>
      <c r="B1596" s="11" t="s">
        <v>32</v>
      </c>
      <c r="D1596" s="4" t="s">
        <v>33</v>
      </c>
      <c r="E1596" s="5">
        <f>7000+1375+8900+2200+2200</f>
        <v>21675</v>
      </c>
    </row>
    <row r="1597" spans="1:6" x14ac:dyDescent="0.25">
      <c r="A1597" s="6" t="s">
        <v>808</v>
      </c>
      <c r="B1597" s="11" t="s">
        <v>34</v>
      </c>
      <c r="D1597" s="4" t="s">
        <v>57</v>
      </c>
      <c r="E1597" s="5">
        <f>9500+10500+2000</f>
        <v>22000</v>
      </c>
      <c r="F1597" s="4" t="s">
        <v>809</v>
      </c>
    </row>
    <row r="1598" spans="1:6" x14ac:dyDescent="0.25">
      <c r="A1598" s="6" t="s">
        <v>808</v>
      </c>
      <c r="B1598" s="11" t="s">
        <v>254</v>
      </c>
      <c r="D1598" s="4" t="s">
        <v>255</v>
      </c>
      <c r="E1598" s="5">
        <f>80000+50000+37000</f>
        <v>167000</v>
      </c>
    </row>
    <row r="1599" spans="1:6" x14ac:dyDescent="0.25">
      <c r="A1599" s="6" t="s">
        <v>808</v>
      </c>
      <c r="B1599" s="11" t="s">
        <v>14</v>
      </c>
      <c r="D1599" s="4" t="s">
        <v>15</v>
      </c>
      <c r="E1599" s="5">
        <f>38387-38387</f>
        <v>0</v>
      </c>
    </row>
    <row r="1600" spans="1:6" x14ac:dyDescent="0.25">
      <c r="A1600" s="6" t="s">
        <v>808</v>
      </c>
      <c r="B1600" s="11" t="s">
        <v>25</v>
      </c>
      <c r="D1600" s="4" t="s">
        <v>58</v>
      </c>
      <c r="E1600" s="5">
        <f>1500+9500+3000+3500+3500+674+7+5000-6120</f>
        <v>20561</v>
      </c>
    </row>
    <row r="1601" spans="1:6" x14ac:dyDescent="0.25">
      <c r="A1601" s="6" t="s">
        <v>808</v>
      </c>
      <c r="B1601" s="11" t="s">
        <v>648</v>
      </c>
      <c r="D1601" s="4" t="s">
        <v>58</v>
      </c>
      <c r="E1601" s="5">
        <f>25*15*34</f>
        <v>12750</v>
      </c>
      <c r="F1601" s="4" t="s">
        <v>810</v>
      </c>
    </row>
    <row r="1602" spans="1:6" x14ac:dyDescent="0.25">
      <c r="A1602" s="6" t="s">
        <v>808</v>
      </c>
      <c r="B1602" s="11" t="s">
        <v>36</v>
      </c>
      <c r="D1602" s="4" t="s">
        <v>157</v>
      </c>
      <c r="E1602" s="5">
        <f>1500+2000</f>
        <v>3500</v>
      </c>
    </row>
    <row r="1603" spans="1:6" x14ac:dyDescent="0.25">
      <c r="A1603" s="6" t="s">
        <v>808</v>
      </c>
      <c r="B1603" s="6" t="s">
        <v>17</v>
      </c>
      <c r="D1603" s="4" t="s">
        <v>18</v>
      </c>
      <c r="E1603" s="5">
        <f>SUM(E1599:E1602)*B3801</f>
        <v>2282.2820000000002</v>
      </c>
      <c r="F1603" s="4" t="s">
        <v>4</v>
      </c>
    </row>
    <row r="1604" spans="1:6" x14ac:dyDescent="0.25">
      <c r="A1604" s="6" t="s">
        <v>808</v>
      </c>
      <c r="B1604" s="6" t="s">
        <v>19</v>
      </c>
      <c r="D1604" s="4" t="s">
        <v>20</v>
      </c>
      <c r="E1604" s="5">
        <f>SUM(E1594:E1602)*B3802</f>
        <v>5426.6395000000002</v>
      </c>
      <c r="F1604" s="4" t="s">
        <v>4</v>
      </c>
    </row>
    <row r="1605" spans="1:6" x14ac:dyDescent="0.25">
      <c r="A1605" s="6" t="s">
        <v>808</v>
      </c>
      <c r="B1605" s="11" t="s">
        <v>40</v>
      </c>
      <c r="D1605" s="4" t="s">
        <v>60</v>
      </c>
      <c r="E1605" s="5">
        <f>SUM(E1594:E1598)*B3799</f>
        <v>10123.199999999999</v>
      </c>
    </row>
    <row r="1606" spans="1:6" x14ac:dyDescent="0.25">
      <c r="A1606" s="6" t="s">
        <v>808</v>
      </c>
      <c r="B1606" s="6" t="s">
        <v>21</v>
      </c>
      <c r="D1606" s="4" t="s">
        <v>22</v>
      </c>
      <c r="E1606" s="5">
        <f>SUM(E1599:E1602)*B3803</f>
        <v>8591.6874000000007</v>
      </c>
      <c r="F1606" s="4" t="s">
        <v>4</v>
      </c>
    </row>
    <row r="1607" spans="1:6" x14ac:dyDescent="0.25">
      <c r="A1607" s="6" t="s">
        <v>808</v>
      </c>
      <c r="B1607" s="11" t="s">
        <v>811</v>
      </c>
      <c r="D1607" s="4" t="s">
        <v>62</v>
      </c>
      <c r="E1607" s="5">
        <f>1000-1000</f>
        <v>0</v>
      </c>
    </row>
    <row r="1608" spans="1:6" x14ac:dyDescent="0.25">
      <c r="A1608" s="6" t="s">
        <v>808</v>
      </c>
      <c r="B1608" s="11" t="s">
        <v>812</v>
      </c>
      <c r="D1608" s="4" t="s">
        <v>497</v>
      </c>
      <c r="E1608" s="5">
        <f>3500-3500</f>
        <v>0</v>
      </c>
    </row>
    <row r="1609" spans="1:6" x14ac:dyDescent="0.25">
      <c r="A1609" s="6" t="s">
        <v>808</v>
      </c>
      <c r="B1609" s="11" t="s">
        <v>385</v>
      </c>
      <c r="D1609" s="4" t="s">
        <v>560</v>
      </c>
      <c r="E1609" s="5">
        <v>0</v>
      </c>
      <c r="F1609" s="4" t="s">
        <v>4</v>
      </c>
    </row>
    <row r="1610" spans="1:6" x14ac:dyDescent="0.25">
      <c r="A1610" s="6" t="s">
        <v>808</v>
      </c>
      <c r="B1610" s="11" t="s">
        <v>46</v>
      </c>
      <c r="D1610" s="4" t="s">
        <v>93</v>
      </c>
      <c r="E1610" s="5">
        <f>697.95-697.95</f>
        <v>0</v>
      </c>
    </row>
    <row r="1611" spans="1:6" x14ac:dyDescent="0.25">
      <c r="A1611" s="6" t="s">
        <v>808</v>
      </c>
      <c r="B1611" s="11" t="s">
        <v>78</v>
      </c>
      <c r="D1611" s="4" t="s">
        <v>570</v>
      </c>
      <c r="E1611" s="5">
        <f>60000-30000-30000</f>
        <v>0</v>
      </c>
    </row>
    <row r="1612" spans="1:6" x14ac:dyDescent="0.25">
      <c r="A1612" s="6" t="s">
        <v>808</v>
      </c>
      <c r="B1612" s="11" t="s">
        <v>80</v>
      </c>
      <c r="D1612" s="4" t="s">
        <v>376</v>
      </c>
    </row>
    <row r="1613" spans="1:6" x14ac:dyDescent="0.25">
      <c r="A1613" s="6" t="s">
        <v>808</v>
      </c>
      <c r="B1613" s="11" t="s">
        <v>813</v>
      </c>
      <c r="D1613" s="4" t="s">
        <v>814</v>
      </c>
      <c r="E1613" s="5">
        <f>400-400</f>
        <v>0</v>
      </c>
    </row>
    <row r="1614" spans="1:6" x14ac:dyDescent="0.25">
      <c r="A1614" s="6" t="s">
        <v>808</v>
      </c>
      <c r="B1614" s="11" t="s">
        <v>815</v>
      </c>
      <c r="D1614" s="4" t="s">
        <v>816</v>
      </c>
      <c r="E1614" s="5">
        <f>1500-800-700</f>
        <v>0</v>
      </c>
    </row>
    <row r="1615" spans="1:6" x14ac:dyDescent="0.25">
      <c r="A1615" s="6" t="s">
        <v>808</v>
      </c>
      <c r="B1615" s="11" t="s">
        <v>817</v>
      </c>
      <c r="D1615" s="4" t="s">
        <v>818</v>
      </c>
      <c r="E1615" s="5">
        <f>500-500</f>
        <v>0</v>
      </c>
    </row>
    <row r="1617" spans="1:6" x14ac:dyDescent="0.25">
      <c r="A1617" s="6" t="s">
        <v>819</v>
      </c>
      <c r="B1617" s="6" t="s">
        <v>4</v>
      </c>
      <c r="C1617" s="6" t="s">
        <v>4</v>
      </c>
      <c r="D1617" s="4" t="s">
        <v>4</v>
      </c>
      <c r="E1617" s="5">
        <f>SUM(E1594:E1615)</f>
        <v>400674.8089</v>
      </c>
    </row>
    <row r="1619" spans="1:6" x14ac:dyDescent="0.25">
      <c r="A1619" s="6" t="s">
        <v>820</v>
      </c>
    </row>
    <row r="1620" spans="1:6" x14ac:dyDescent="0.25">
      <c r="A1620" s="6" t="s">
        <v>12</v>
      </c>
    </row>
    <row r="1621" spans="1:6" x14ac:dyDescent="0.25">
      <c r="A1621" s="6" t="s">
        <v>821</v>
      </c>
      <c r="B1621" s="11" t="s">
        <v>25</v>
      </c>
      <c r="D1621" s="4" t="s">
        <v>58</v>
      </c>
      <c r="E1621" s="5">
        <f>6600-6600</f>
        <v>0</v>
      </c>
    </row>
    <row r="1622" spans="1:6" x14ac:dyDescent="0.25">
      <c r="A1622" s="6" t="s">
        <v>821</v>
      </c>
      <c r="B1622" s="11" t="s">
        <v>17</v>
      </c>
      <c r="D1622" s="4" t="s">
        <v>18</v>
      </c>
      <c r="E1622" s="5">
        <f>E1621*B3801</f>
        <v>0</v>
      </c>
      <c r="F1622" s="4" t="s">
        <v>4</v>
      </c>
    </row>
    <row r="1623" spans="1:6" x14ac:dyDescent="0.25">
      <c r="A1623" s="6" t="s">
        <v>821</v>
      </c>
      <c r="B1623" s="6" t="s">
        <v>19</v>
      </c>
      <c r="D1623" s="4" t="s">
        <v>20</v>
      </c>
      <c r="E1623" s="5">
        <f>E1621*B3802</f>
        <v>0</v>
      </c>
      <c r="F1623" s="4" t="s">
        <v>4</v>
      </c>
    </row>
    <row r="1624" spans="1:6" x14ac:dyDescent="0.25">
      <c r="A1624" s="6" t="s">
        <v>821</v>
      </c>
      <c r="B1624" s="11" t="s">
        <v>21</v>
      </c>
      <c r="D1624" s="4" t="s">
        <v>22</v>
      </c>
      <c r="E1624" s="5">
        <f>E1621*B3803</f>
        <v>0</v>
      </c>
    </row>
    <row r="1625" spans="1:6" x14ac:dyDescent="0.25">
      <c r="A1625" s="6" t="s">
        <v>821</v>
      </c>
      <c r="B1625" s="11" t="s">
        <v>46</v>
      </c>
      <c r="D1625" s="4" t="s">
        <v>47</v>
      </c>
      <c r="E1625" s="5">
        <f>1000-500</f>
        <v>500</v>
      </c>
    </row>
    <row r="1626" spans="1:6" x14ac:dyDescent="0.25">
      <c r="A1626" s="6" t="s">
        <v>821</v>
      </c>
      <c r="B1626" s="11" t="s">
        <v>822</v>
      </c>
      <c r="D1626" s="4" t="s">
        <v>823</v>
      </c>
      <c r="E1626" s="5">
        <v>0</v>
      </c>
    </row>
    <row r="1627" spans="1:6" x14ac:dyDescent="0.25">
      <c r="A1627" s="6" t="s">
        <v>821</v>
      </c>
      <c r="B1627" s="11" t="s">
        <v>112</v>
      </c>
      <c r="D1627" s="4" t="s">
        <v>311</v>
      </c>
      <c r="E1627" s="5">
        <v>0</v>
      </c>
    </row>
    <row r="1629" spans="1:6" x14ac:dyDescent="0.25">
      <c r="A1629" s="6" t="s">
        <v>824</v>
      </c>
      <c r="B1629" s="6" t="s">
        <v>4</v>
      </c>
      <c r="C1629" s="6" t="s">
        <v>4</v>
      </c>
      <c r="D1629" s="4" t="s">
        <v>4</v>
      </c>
      <c r="E1629" s="5">
        <f>SUM(E1621:E1627)</f>
        <v>500</v>
      </c>
    </row>
    <row r="1631" spans="1:6" x14ac:dyDescent="0.25">
      <c r="A1631" s="6" t="s">
        <v>825</v>
      </c>
    </row>
    <row r="1632" spans="1:6" x14ac:dyDescent="0.25">
      <c r="A1632" s="6" t="s">
        <v>12</v>
      </c>
    </row>
    <row r="1633" spans="1:5" x14ac:dyDescent="0.25">
      <c r="A1633" s="6" t="s">
        <v>826</v>
      </c>
      <c r="B1633" s="6" t="s">
        <v>32</v>
      </c>
      <c r="D1633" s="4" t="s">
        <v>33</v>
      </c>
      <c r="E1633" s="5">
        <f>4350+8025-1500+8400</f>
        <v>19275</v>
      </c>
    </row>
    <row r="1634" spans="1:5" x14ac:dyDescent="0.25">
      <c r="A1634" s="6" t="s">
        <v>826</v>
      </c>
      <c r="B1634" s="6" t="s">
        <v>25</v>
      </c>
      <c r="D1634" s="4" t="s">
        <v>58</v>
      </c>
      <c r="E1634" s="5">
        <f>2400+2650+350-2500+1000+1575+775+1400</f>
        <v>7650</v>
      </c>
    </row>
    <row r="1635" spans="1:5" x14ac:dyDescent="0.25">
      <c r="A1635" s="6" t="s">
        <v>826</v>
      </c>
      <c r="B1635" s="6" t="s">
        <v>17</v>
      </c>
      <c r="D1635" s="4" t="s">
        <v>18</v>
      </c>
      <c r="E1635" s="5">
        <f>E1634*B3801</f>
        <v>474.3</v>
      </c>
    </row>
    <row r="1636" spans="1:5" x14ac:dyDescent="0.25">
      <c r="A1636" s="6" t="s">
        <v>826</v>
      </c>
      <c r="B1636" s="6" t="s">
        <v>19</v>
      </c>
      <c r="D1636" s="4" t="s">
        <v>20</v>
      </c>
      <c r="E1636" s="5">
        <f>SUM(E1633:E1634)*B3802</f>
        <v>390.41250000000002</v>
      </c>
    </row>
    <row r="1637" spans="1:5" x14ac:dyDescent="0.25">
      <c r="A1637" s="6" t="s">
        <v>826</v>
      </c>
      <c r="B1637" s="11" t="s">
        <v>40</v>
      </c>
      <c r="D1637" s="4" t="s">
        <v>60</v>
      </c>
      <c r="E1637" s="5">
        <f>E1633*B3799</f>
        <v>578.25</v>
      </c>
    </row>
    <row r="1638" spans="1:5" x14ac:dyDescent="0.25">
      <c r="A1638" s="6" t="s">
        <v>826</v>
      </c>
      <c r="B1638" s="6" t="s">
        <v>21</v>
      </c>
      <c r="D1638" s="4" t="s">
        <v>22</v>
      </c>
      <c r="E1638" s="5">
        <f>E1634*B3803</f>
        <v>1785.51</v>
      </c>
    </row>
    <row r="1640" spans="1:5" x14ac:dyDescent="0.25">
      <c r="A1640" s="6" t="s">
        <v>827</v>
      </c>
      <c r="B1640" s="6" t="s">
        <v>4</v>
      </c>
      <c r="C1640" s="6" t="s">
        <v>4</v>
      </c>
      <c r="D1640" s="4" t="s">
        <v>4</v>
      </c>
      <c r="E1640" s="5">
        <f>SUM(E1633:E1638)</f>
        <v>30153.472499999996</v>
      </c>
    </row>
    <row r="1642" spans="1:5" x14ac:dyDescent="0.25">
      <c r="A1642" s="6" t="s">
        <v>828</v>
      </c>
    </row>
    <row r="1643" spans="1:5" x14ac:dyDescent="0.25">
      <c r="A1643" s="6" t="s">
        <v>12</v>
      </c>
    </row>
    <row r="1644" spans="1:5" x14ac:dyDescent="0.25">
      <c r="A1644" s="6" t="s">
        <v>829</v>
      </c>
      <c r="B1644" s="6" t="s">
        <v>55</v>
      </c>
      <c r="D1644" s="4" t="s">
        <v>56</v>
      </c>
      <c r="E1644" s="5">
        <v>19995</v>
      </c>
    </row>
    <row r="1645" spans="1:5" x14ac:dyDescent="0.25">
      <c r="A1645" s="6" t="s">
        <v>829</v>
      </c>
      <c r="B1645" s="6" t="s">
        <v>32</v>
      </c>
      <c r="D1645" s="4" t="s">
        <v>33</v>
      </c>
      <c r="E1645" s="5">
        <v>15516</v>
      </c>
    </row>
    <row r="1646" spans="1:5" x14ac:dyDescent="0.25">
      <c r="A1646" s="6" t="s">
        <v>829</v>
      </c>
      <c r="B1646" s="6" t="s">
        <v>19</v>
      </c>
      <c r="D1646" s="4" t="s">
        <v>20</v>
      </c>
      <c r="E1646" s="5">
        <f>SUM(E1644:E1645)*B3798</f>
        <v>514.90949999999998</v>
      </c>
    </row>
    <row r="1647" spans="1:5" x14ac:dyDescent="0.25">
      <c r="A1647" s="6" t="s">
        <v>829</v>
      </c>
      <c r="B1647" s="11" t="s">
        <v>40</v>
      </c>
      <c r="D1647" s="4" t="s">
        <v>60</v>
      </c>
      <c r="E1647" s="5">
        <f>SUM(E1644:E1645)*B3799</f>
        <v>1065.33</v>
      </c>
    </row>
    <row r="1649" spans="1:5" x14ac:dyDescent="0.25">
      <c r="A1649" s="6" t="s">
        <v>830</v>
      </c>
      <c r="B1649" s="6" t="s">
        <v>4</v>
      </c>
      <c r="C1649" s="6" t="s">
        <v>4</v>
      </c>
      <c r="D1649" s="4" t="s">
        <v>4</v>
      </c>
      <c r="E1649" s="5">
        <f>SUM(E1644:E1647)</f>
        <v>37091.239500000003</v>
      </c>
    </row>
    <row r="1651" spans="1:5" x14ac:dyDescent="0.25">
      <c r="A1651" s="6" t="s">
        <v>831</v>
      </c>
    </row>
    <row r="1652" spans="1:5" x14ac:dyDescent="0.25">
      <c r="A1652" s="6" t="s">
        <v>12</v>
      </c>
    </row>
    <row r="1653" spans="1:5" x14ac:dyDescent="0.25">
      <c r="A1653" s="6" t="s">
        <v>832</v>
      </c>
      <c r="B1653" s="6" t="s">
        <v>55</v>
      </c>
      <c r="D1653" s="4" t="s">
        <v>56</v>
      </c>
      <c r="E1653" s="5">
        <v>0</v>
      </c>
    </row>
    <row r="1654" spans="1:5" x14ac:dyDescent="0.25">
      <c r="A1654" s="6" t="s">
        <v>832</v>
      </c>
      <c r="B1654" s="11" t="s">
        <v>14</v>
      </c>
      <c r="C1654" s="12"/>
      <c r="D1654" s="4" t="s">
        <v>15</v>
      </c>
      <c r="E1654" s="5">
        <f>25465-25465</f>
        <v>0</v>
      </c>
    </row>
    <row r="1655" spans="1:5" x14ac:dyDescent="0.25">
      <c r="A1655" s="6" t="s">
        <v>832</v>
      </c>
      <c r="B1655" s="11" t="s">
        <v>17</v>
      </c>
      <c r="C1655" s="12"/>
      <c r="D1655" s="4" t="s">
        <v>18</v>
      </c>
      <c r="E1655" s="5">
        <f>E1654*B3801</f>
        <v>0</v>
      </c>
    </row>
    <row r="1656" spans="1:5" x14ac:dyDescent="0.25">
      <c r="A1656" s="6" t="s">
        <v>832</v>
      </c>
      <c r="B1656" s="6" t="s">
        <v>19</v>
      </c>
      <c r="D1656" s="4" t="s">
        <v>20</v>
      </c>
      <c r="E1656" s="5">
        <f>SUM(E1653:E1654)*B3802</f>
        <v>0</v>
      </c>
    </row>
    <row r="1657" spans="1:5" x14ac:dyDescent="0.25">
      <c r="A1657" s="6" t="s">
        <v>832</v>
      </c>
      <c r="B1657" s="11" t="s">
        <v>40</v>
      </c>
      <c r="D1657" s="4" t="s">
        <v>60</v>
      </c>
      <c r="E1657" s="5">
        <f>E1653*B3799</f>
        <v>0</v>
      </c>
    </row>
    <row r="1658" spans="1:5" x14ac:dyDescent="0.25">
      <c r="A1658" s="6" t="s">
        <v>832</v>
      </c>
      <c r="B1658" s="11" t="s">
        <v>21</v>
      </c>
      <c r="D1658" s="4" t="s">
        <v>22</v>
      </c>
      <c r="E1658" s="5">
        <f>E1654*B3803</f>
        <v>0</v>
      </c>
    </row>
    <row r="1660" spans="1:5" x14ac:dyDescent="0.25">
      <c r="A1660" s="6" t="s">
        <v>833</v>
      </c>
      <c r="B1660" s="6" t="s">
        <v>4</v>
      </c>
      <c r="C1660" s="6" t="s">
        <v>4</v>
      </c>
      <c r="D1660" s="4" t="s">
        <v>4</v>
      </c>
      <c r="E1660" s="5">
        <f>SUM(E1653:E1658)</f>
        <v>0</v>
      </c>
    </row>
    <row r="1662" spans="1:5" x14ac:dyDescent="0.25">
      <c r="A1662" s="6" t="s">
        <v>834</v>
      </c>
    </row>
    <row r="1663" spans="1:5" x14ac:dyDescent="0.25">
      <c r="A1663" s="6" t="s">
        <v>12</v>
      </c>
    </row>
    <row r="1664" spans="1:5" x14ac:dyDescent="0.25">
      <c r="A1664" s="6" t="s">
        <v>835</v>
      </c>
      <c r="B1664" s="6" t="s">
        <v>55</v>
      </c>
      <c r="D1664" s="4" t="s">
        <v>56</v>
      </c>
      <c r="E1664" s="5">
        <v>60009</v>
      </c>
    </row>
    <row r="1665" spans="1:6" x14ac:dyDescent="0.25">
      <c r="A1665" s="6" t="s">
        <v>835</v>
      </c>
      <c r="B1665" s="6" t="s">
        <v>32</v>
      </c>
      <c r="D1665" s="4" t="s">
        <v>33</v>
      </c>
      <c r="E1665" s="5">
        <v>103759</v>
      </c>
    </row>
    <row r="1666" spans="1:6" x14ac:dyDescent="0.25">
      <c r="A1666" s="6" t="s">
        <v>835</v>
      </c>
      <c r="B1666" s="11" t="s">
        <v>14</v>
      </c>
      <c r="D1666" s="4" t="s">
        <v>15</v>
      </c>
      <c r="E1666" s="5">
        <v>20288</v>
      </c>
    </row>
    <row r="1667" spans="1:6" x14ac:dyDescent="0.25">
      <c r="A1667" s="6" t="s">
        <v>835</v>
      </c>
      <c r="B1667" s="11" t="s">
        <v>17</v>
      </c>
      <c r="D1667" s="4" t="s">
        <v>18</v>
      </c>
      <c r="E1667" s="5">
        <f>E1666*B3801</f>
        <v>1257.856</v>
      </c>
    </row>
    <row r="1668" spans="1:6" x14ac:dyDescent="0.25">
      <c r="A1668" s="6" t="s">
        <v>835</v>
      </c>
      <c r="B1668" s="6" t="s">
        <v>19</v>
      </c>
      <c r="D1668" s="4" t="s">
        <v>20</v>
      </c>
      <c r="E1668" s="5">
        <f>SUM(E1664:E1666)*B3798</f>
        <v>2668.8120000000004</v>
      </c>
    </row>
    <row r="1669" spans="1:6" x14ac:dyDescent="0.25">
      <c r="A1669" s="6" t="s">
        <v>835</v>
      </c>
      <c r="B1669" s="6" t="s">
        <v>40</v>
      </c>
      <c r="D1669" s="4" t="s">
        <v>60</v>
      </c>
      <c r="E1669" s="5">
        <f>SUM(E1664:E1665)*B3799</f>
        <v>4913.04</v>
      </c>
    </row>
    <row r="1670" spans="1:6" x14ac:dyDescent="0.25">
      <c r="A1670" s="6"/>
      <c r="B1670" s="11" t="s">
        <v>21</v>
      </c>
      <c r="D1670" s="4" t="s">
        <v>22</v>
      </c>
      <c r="E1670" s="5">
        <f>E1666*B3803</f>
        <v>4735.2191999999995</v>
      </c>
    </row>
    <row r="1671" spans="1:6" x14ac:dyDescent="0.25">
      <c r="A1671" s="6" t="s">
        <v>835</v>
      </c>
      <c r="B1671" s="11" t="s">
        <v>46</v>
      </c>
      <c r="D1671" s="4" t="s">
        <v>93</v>
      </c>
      <c r="E1671" s="5">
        <v>0</v>
      </c>
    </row>
    <row r="1673" spans="1:6" x14ac:dyDescent="0.25">
      <c r="A1673" s="6" t="s">
        <v>836</v>
      </c>
      <c r="B1673" s="6" t="s">
        <v>4</v>
      </c>
      <c r="C1673" s="6" t="s">
        <v>4</v>
      </c>
      <c r="D1673" s="4" t="s">
        <v>4</v>
      </c>
      <c r="E1673" s="5">
        <f>SUM(E1664:E1671)</f>
        <v>197630.92720000001</v>
      </c>
    </row>
    <row r="1675" spans="1:6" x14ac:dyDescent="0.25">
      <c r="A1675" s="6" t="s">
        <v>837</v>
      </c>
      <c r="F1675" s="4" t="s">
        <v>838</v>
      </c>
    </row>
    <row r="1676" spans="1:6" x14ac:dyDescent="0.25">
      <c r="A1676" s="6" t="s">
        <v>12</v>
      </c>
    </row>
    <row r="1677" spans="1:6" hidden="1" x14ac:dyDescent="0.25">
      <c r="A1677" s="6" t="s">
        <v>839</v>
      </c>
      <c r="B1677" s="12" t="s">
        <v>159</v>
      </c>
      <c r="D1677" s="4" t="s">
        <v>371</v>
      </c>
      <c r="E1677" s="5">
        <v>0</v>
      </c>
    </row>
    <row r="1678" spans="1:6" x14ac:dyDescent="0.25">
      <c r="A1678" s="6" t="s">
        <v>839</v>
      </c>
      <c r="B1678" s="12" t="s">
        <v>44</v>
      </c>
      <c r="D1678" s="4" t="s">
        <v>45</v>
      </c>
      <c r="E1678" s="5">
        <f>5000+2464</f>
        <v>7464</v>
      </c>
    </row>
    <row r="1679" spans="1:6" hidden="1" x14ac:dyDescent="0.25">
      <c r="A1679" s="6" t="s">
        <v>839</v>
      </c>
      <c r="B1679" s="6" t="s">
        <v>161</v>
      </c>
      <c r="D1679" s="4" t="s">
        <v>162</v>
      </c>
      <c r="E1679" s="5">
        <f>8500-8500</f>
        <v>0</v>
      </c>
    </row>
    <row r="1680" spans="1:6" x14ac:dyDescent="0.25">
      <c r="A1680" s="6" t="s">
        <v>839</v>
      </c>
      <c r="B1680" s="6" t="s">
        <v>167</v>
      </c>
      <c r="D1680" s="4" t="s">
        <v>537</v>
      </c>
      <c r="E1680" s="5">
        <v>500</v>
      </c>
    </row>
    <row r="1681" spans="1:5" x14ac:dyDescent="0.25">
      <c r="A1681" s="6" t="s">
        <v>839</v>
      </c>
      <c r="B1681" s="11" t="s">
        <v>169</v>
      </c>
      <c r="D1681" s="4" t="s">
        <v>840</v>
      </c>
      <c r="E1681" s="5">
        <v>500</v>
      </c>
    </row>
    <row r="1682" spans="1:5" hidden="1" x14ac:dyDescent="0.25">
      <c r="A1682" s="6" t="s">
        <v>839</v>
      </c>
      <c r="B1682" s="6" t="s">
        <v>841</v>
      </c>
      <c r="D1682" s="4" t="s">
        <v>842</v>
      </c>
      <c r="E1682" s="5">
        <v>0</v>
      </c>
    </row>
    <row r="1683" spans="1:5" x14ac:dyDescent="0.25">
      <c r="A1683" s="6" t="s">
        <v>839</v>
      </c>
      <c r="B1683" s="11" t="s">
        <v>171</v>
      </c>
      <c r="D1683" s="4" t="s">
        <v>172</v>
      </c>
      <c r="E1683" s="5">
        <v>2000</v>
      </c>
    </row>
    <row r="1684" spans="1:5" x14ac:dyDescent="0.25">
      <c r="A1684" s="6" t="s">
        <v>839</v>
      </c>
      <c r="B1684" s="11" t="s">
        <v>173</v>
      </c>
      <c r="D1684" s="4" t="s">
        <v>174</v>
      </c>
      <c r="E1684" s="5">
        <v>0</v>
      </c>
    </row>
    <row r="1685" spans="1:5" x14ac:dyDescent="0.25">
      <c r="A1685" s="6" t="s">
        <v>839</v>
      </c>
      <c r="B1685" s="11" t="s">
        <v>542</v>
      </c>
      <c r="D1685" s="4" t="s">
        <v>843</v>
      </c>
      <c r="E1685" s="5">
        <v>250</v>
      </c>
    </row>
    <row r="1686" spans="1:5" x14ac:dyDescent="0.25">
      <c r="A1686" s="6" t="s">
        <v>839</v>
      </c>
      <c r="B1686" s="6" t="s">
        <v>46</v>
      </c>
      <c r="D1686" s="4" t="s">
        <v>47</v>
      </c>
      <c r="E1686" s="5">
        <v>15000</v>
      </c>
    </row>
    <row r="1687" spans="1:5" hidden="1" x14ac:dyDescent="0.25">
      <c r="A1687" s="6" t="s">
        <v>839</v>
      </c>
      <c r="B1687" s="6" t="s">
        <v>177</v>
      </c>
      <c r="D1687" s="4" t="s">
        <v>178</v>
      </c>
      <c r="E1687" s="5">
        <f>20500*1.1*1.05-23677.5</f>
        <v>0</v>
      </c>
    </row>
    <row r="1688" spans="1:5" hidden="1" x14ac:dyDescent="0.25">
      <c r="A1688" s="6" t="s">
        <v>839</v>
      </c>
      <c r="B1688" s="6" t="s">
        <v>179</v>
      </c>
      <c r="D1688" s="4" t="s">
        <v>180</v>
      </c>
      <c r="E1688" s="5">
        <f>53000*1.1*1.05-61215</f>
        <v>0</v>
      </c>
    </row>
    <row r="1689" spans="1:5" x14ac:dyDescent="0.25">
      <c r="A1689" s="6" t="s">
        <v>839</v>
      </c>
      <c r="B1689" s="11" t="s">
        <v>374</v>
      </c>
      <c r="D1689" s="4" t="s">
        <v>375</v>
      </c>
      <c r="E1689" s="5">
        <v>500</v>
      </c>
    </row>
    <row r="1690" spans="1:5" x14ac:dyDescent="0.25">
      <c r="A1690" s="6" t="s">
        <v>839</v>
      </c>
      <c r="B1690" s="11" t="s">
        <v>544</v>
      </c>
      <c r="D1690" s="4" t="s">
        <v>545</v>
      </c>
      <c r="E1690" s="5">
        <v>1000</v>
      </c>
    </row>
    <row r="1691" spans="1:5" hidden="1" x14ac:dyDescent="0.25">
      <c r="A1691" s="6" t="s">
        <v>839</v>
      </c>
      <c r="B1691" s="11" t="s">
        <v>183</v>
      </c>
      <c r="D1691" s="4" t="s">
        <v>844</v>
      </c>
      <c r="E1691" s="5">
        <v>0</v>
      </c>
    </row>
    <row r="1692" spans="1:5" x14ac:dyDescent="0.25">
      <c r="A1692" s="6" t="s">
        <v>839</v>
      </c>
      <c r="B1692" s="11" t="s">
        <v>112</v>
      </c>
      <c r="D1692" s="4" t="s">
        <v>297</v>
      </c>
      <c r="E1692" s="5">
        <v>0</v>
      </c>
    </row>
    <row r="1693" spans="1:5" x14ac:dyDescent="0.25">
      <c r="A1693" s="6" t="s">
        <v>839</v>
      </c>
      <c r="B1693" s="11" t="s">
        <v>131</v>
      </c>
      <c r="D1693" s="4" t="s">
        <v>132</v>
      </c>
      <c r="E1693" s="5">
        <v>2500</v>
      </c>
    </row>
    <row r="1694" spans="1:5" x14ac:dyDescent="0.25">
      <c r="A1694" s="6" t="s">
        <v>839</v>
      </c>
      <c r="B1694" s="6" t="s">
        <v>192</v>
      </c>
      <c r="D1694" s="4" t="s">
        <v>546</v>
      </c>
      <c r="E1694" s="5">
        <v>600</v>
      </c>
    </row>
    <row r="1695" spans="1:5" x14ac:dyDescent="0.25">
      <c r="A1695" s="6" t="s">
        <v>839</v>
      </c>
      <c r="B1695" s="11" t="s">
        <v>14</v>
      </c>
      <c r="D1695" s="4" t="s">
        <v>845</v>
      </c>
      <c r="E1695" s="5">
        <v>0</v>
      </c>
    </row>
    <row r="1697" spans="1:6" x14ac:dyDescent="0.25">
      <c r="A1697" s="6" t="s">
        <v>846</v>
      </c>
      <c r="B1697" s="6" t="s">
        <v>4</v>
      </c>
      <c r="C1697" s="6" t="s">
        <v>4</v>
      </c>
      <c r="D1697" s="4" t="s">
        <v>4</v>
      </c>
      <c r="E1697" s="5">
        <f>SUM(E1677:E1695)</f>
        <v>30314</v>
      </c>
    </row>
    <row r="1699" spans="1:6" hidden="1" x14ac:dyDescent="0.25">
      <c r="A1699" s="6" t="s">
        <v>847</v>
      </c>
    </row>
    <row r="1700" spans="1:6" hidden="1" x14ac:dyDescent="0.25">
      <c r="A1700" s="6" t="s">
        <v>12</v>
      </c>
    </row>
    <row r="1701" spans="1:6" hidden="1" x14ac:dyDescent="0.25">
      <c r="A1701" s="6" t="s">
        <v>848</v>
      </c>
      <c r="B1701" s="6" t="s">
        <v>165</v>
      </c>
      <c r="D1701" s="4" t="s">
        <v>550</v>
      </c>
      <c r="E1701" s="5">
        <f>11500-11500</f>
        <v>0</v>
      </c>
      <c r="F1701" s="4" t="s">
        <v>838</v>
      </c>
    </row>
    <row r="1702" spans="1:6" hidden="1" x14ac:dyDescent="0.25"/>
    <row r="1703" spans="1:6" hidden="1" x14ac:dyDescent="0.25">
      <c r="A1703" s="6" t="s">
        <v>849</v>
      </c>
      <c r="B1703" s="6" t="s">
        <v>4</v>
      </c>
      <c r="C1703" s="6" t="s">
        <v>4</v>
      </c>
      <c r="D1703" s="4" t="s">
        <v>4</v>
      </c>
      <c r="E1703" s="5">
        <f>E1701</f>
        <v>0</v>
      </c>
    </row>
    <row r="1704" spans="1:6" hidden="1" x14ac:dyDescent="0.25"/>
    <row r="1705" spans="1:6" x14ac:dyDescent="0.25">
      <c r="A1705" s="6" t="s">
        <v>850</v>
      </c>
    </row>
    <row r="1707" spans="1:6" x14ac:dyDescent="0.25">
      <c r="A1707" s="12" t="s">
        <v>851</v>
      </c>
      <c r="B1707" s="12" t="s">
        <v>44</v>
      </c>
      <c r="D1707" s="4" t="s">
        <v>45</v>
      </c>
      <c r="E1707" s="5">
        <v>250</v>
      </c>
      <c r="F1707" s="4" t="s">
        <v>852</v>
      </c>
    </row>
    <row r="1708" spans="1:6" x14ac:dyDescent="0.25">
      <c r="A1708" s="12" t="s">
        <v>851</v>
      </c>
      <c r="B1708" s="12" t="s">
        <v>276</v>
      </c>
      <c r="D1708" s="4" t="s">
        <v>277</v>
      </c>
      <c r="E1708" s="5">
        <f>26000+57447.5</f>
        <v>83447.5</v>
      </c>
      <c r="F1708" s="4" t="s">
        <v>853</v>
      </c>
    </row>
    <row r="1709" spans="1:6" x14ac:dyDescent="0.25">
      <c r="A1709" s="12" t="s">
        <v>851</v>
      </c>
      <c r="B1709" s="12" t="s">
        <v>337</v>
      </c>
      <c r="D1709" s="4" t="s">
        <v>338</v>
      </c>
      <c r="E1709" s="5">
        <v>6000</v>
      </c>
    </row>
    <row r="1711" spans="1:6" x14ac:dyDescent="0.25">
      <c r="A1711" s="4" t="s">
        <v>854</v>
      </c>
      <c r="E1711" s="5">
        <f>E1707+E1708+E1709</f>
        <v>89697.5</v>
      </c>
    </row>
    <row r="1713" spans="1:6" x14ac:dyDescent="0.25">
      <c r="A1713" s="6" t="s">
        <v>855</v>
      </c>
    </row>
    <row r="1714" spans="1:6" x14ac:dyDescent="0.25">
      <c r="A1714" s="6" t="s">
        <v>12</v>
      </c>
    </row>
    <row r="1715" spans="1:6" x14ac:dyDescent="0.25">
      <c r="A1715" s="6" t="s">
        <v>856</v>
      </c>
      <c r="B1715" s="11" t="s">
        <v>32</v>
      </c>
      <c r="D1715" s="4" t="s">
        <v>56</v>
      </c>
      <c r="E1715" s="5">
        <v>3150</v>
      </c>
    </row>
    <row r="1716" spans="1:6" x14ac:dyDescent="0.25">
      <c r="A1716" s="6" t="s">
        <v>856</v>
      </c>
      <c r="B1716" s="11" t="s">
        <v>34</v>
      </c>
      <c r="D1716" s="4" t="s">
        <v>57</v>
      </c>
      <c r="E1716" s="5">
        <f>8000+4232+1104-3150</f>
        <v>10186</v>
      </c>
    </row>
    <row r="1717" spans="1:6" x14ac:dyDescent="0.25">
      <c r="A1717" s="6" t="s">
        <v>856</v>
      </c>
      <c r="B1717" s="6" t="s">
        <v>19</v>
      </c>
      <c r="D1717" s="4" t="s">
        <v>20</v>
      </c>
      <c r="E1717" s="5">
        <f>SUM(E1715:E1716)*B3798</f>
        <v>193.37200000000001</v>
      </c>
      <c r="F1717" s="4" t="s">
        <v>4</v>
      </c>
    </row>
    <row r="1718" spans="1:6" x14ac:dyDescent="0.25">
      <c r="A1718" s="6" t="s">
        <v>856</v>
      </c>
      <c r="B1718" s="11" t="s">
        <v>40</v>
      </c>
      <c r="D1718" s="4" t="s">
        <v>60</v>
      </c>
      <c r="E1718" s="5">
        <f>SUM(E1715:E1716)*B3799</f>
        <v>400.08</v>
      </c>
    </row>
    <row r="1719" spans="1:6" x14ac:dyDescent="0.25">
      <c r="A1719" s="6" t="s">
        <v>856</v>
      </c>
      <c r="B1719" s="11" t="s">
        <v>42</v>
      </c>
      <c r="D1719" s="4" t="s">
        <v>126</v>
      </c>
      <c r="E1719" s="5">
        <v>3500</v>
      </c>
    </row>
    <row r="1720" spans="1:6" x14ac:dyDescent="0.25">
      <c r="A1720" s="6" t="s">
        <v>856</v>
      </c>
      <c r="B1720" s="6" t="s">
        <v>61</v>
      </c>
      <c r="D1720" s="4" t="s">
        <v>188</v>
      </c>
      <c r="E1720" s="5">
        <v>7000</v>
      </c>
    </row>
    <row r="1721" spans="1:6" x14ac:dyDescent="0.25">
      <c r="A1721" s="6" t="s">
        <v>856</v>
      </c>
      <c r="B1721" s="11" t="s">
        <v>88</v>
      </c>
      <c r="D1721" s="4" t="s">
        <v>89</v>
      </c>
      <c r="E1721" s="5">
        <v>200</v>
      </c>
    </row>
    <row r="1722" spans="1:6" x14ac:dyDescent="0.25">
      <c r="A1722" s="6" t="s">
        <v>856</v>
      </c>
      <c r="B1722" s="6" t="s">
        <v>70</v>
      </c>
      <c r="D1722" s="4" t="s">
        <v>191</v>
      </c>
      <c r="E1722" s="5">
        <v>7500</v>
      </c>
      <c r="F1722" s="4" t="s">
        <v>4</v>
      </c>
    </row>
    <row r="1723" spans="1:6" x14ac:dyDescent="0.25">
      <c r="A1723" s="6" t="s">
        <v>856</v>
      </c>
      <c r="B1723" s="6" t="s">
        <v>46</v>
      </c>
      <c r="D1723" s="4" t="s">
        <v>47</v>
      </c>
      <c r="E1723" s="5">
        <v>4000</v>
      </c>
    </row>
    <row r="1724" spans="1:6" x14ac:dyDescent="0.25">
      <c r="A1724" s="6" t="s">
        <v>856</v>
      </c>
      <c r="B1724" s="11" t="s">
        <v>72</v>
      </c>
      <c r="D1724" s="4" t="s">
        <v>111</v>
      </c>
      <c r="E1724" s="5">
        <v>1000</v>
      </c>
    </row>
    <row r="1725" spans="1:6" x14ac:dyDescent="0.25">
      <c r="A1725" s="6" t="s">
        <v>856</v>
      </c>
      <c r="B1725" s="11" t="s">
        <v>94</v>
      </c>
      <c r="D1725" s="4" t="s">
        <v>95</v>
      </c>
      <c r="E1725" s="5">
        <v>1500</v>
      </c>
    </row>
    <row r="1726" spans="1:6" x14ac:dyDescent="0.25">
      <c r="A1726" s="6" t="s">
        <v>856</v>
      </c>
      <c r="B1726" s="6" t="s">
        <v>337</v>
      </c>
      <c r="D1726" s="4" t="s">
        <v>659</v>
      </c>
      <c r="E1726" s="5">
        <v>5000</v>
      </c>
    </row>
    <row r="1727" spans="1:6" x14ac:dyDescent="0.25">
      <c r="A1727" s="6" t="s">
        <v>856</v>
      </c>
      <c r="B1727" s="6" t="s">
        <v>128</v>
      </c>
      <c r="D1727" s="4" t="s">
        <v>229</v>
      </c>
      <c r="E1727" s="5">
        <v>28000</v>
      </c>
      <c r="F1727" s="4" t="s">
        <v>4</v>
      </c>
    </row>
    <row r="1728" spans="1:6" x14ac:dyDescent="0.25">
      <c r="A1728" s="6" t="s">
        <v>856</v>
      </c>
      <c r="B1728" s="6" t="s">
        <v>48</v>
      </c>
      <c r="D1728" s="4" t="s">
        <v>761</v>
      </c>
      <c r="E1728" s="5">
        <v>0</v>
      </c>
      <c r="F1728" s="4" t="s">
        <v>4</v>
      </c>
    </row>
    <row r="1729" spans="1:6" x14ac:dyDescent="0.25">
      <c r="A1729" s="6" t="s">
        <v>856</v>
      </c>
      <c r="B1729" s="6" t="s">
        <v>78</v>
      </c>
      <c r="D1729" s="4" t="s">
        <v>570</v>
      </c>
      <c r="E1729" s="5">
        <v>0</v>
      </c>
      <c r="F1729" s="4" t="s">
        <v>4</v>
      </c>
    </row>
    <row r="1730" spans="1:6" x14ac:dyDescent="0.25">
      <c r="A1730" s="6" t="s">
        <v>856</v>
      </c>
      <c r="B1730" s="11" t="s">
        <v>298</v>
      </c>
      <c r="D1730" s="4" t="s">
        <v>299</v>
      </c>
      <c r="E1730" s="5">
        <v>13750</v>
      </c>
    </row>
    <row r="1731" spans="1:6" x14ac:dyDescent="0.25">
      <c r="A1731" s="6" t="s">
        <v>856</v>
      </c>
      <c r="B1731" s="11" t="s">
        <v>27</v>
      </c>
      <c r="D1731" s="4" t="s">
        <v>585</v>
      </c>
      <c r="E1731" s="5">
        <v>750</v>
      </c>
    </row>
    <row r="1733" spans="1:6" x14ac:dyDescent="0.25">
      <c r="A1733" s="6" t="s">
        <v>857</v>
      </c>
      <c r="B1733" s="6" t="s">
        <v>4</v>
      </c>
      <c r="C1733" s="6" t="s">
        <v>4</v>
      </c>
      <c r="D1733" s="4" t="s">
        <v>4</v>
      </c>
      <c r="E1733" s="5">
        <f>SUM(E1715:E1731)</f>
        <v>86129.45199999999</v>
      </c>
    </row>
    <row r="1735" spans="1:6" x14ac:dyDescent="0.25">
      <c r="A1735" s="6" t="s">
        <v>858</v>
      </c>
    </row>
    <row r="1736" spans="1:6" x14ac:dyDescent="0.25">
      <c r="A1736" s="6" t="s">
        <v>12</v>
      </c>
    </row>
    <row r="1737" spans="1:6" x14ac:dyDescent="0.25">
      <c r="A1737" s="6" t="s">
        <v>859</v>
      </c>
      <c r="B1737" s="6" t="s">
        <v>14</v>
      </c>
      <c r="D1737" s="4" t="s">
        <v>15</v>
      </c>
      <c r="E1737" s="5">
        <v>0</v>
      </c>
    </row>
    <row r="1738" spans="1:6" x14ac:dyDescent="0.25">
      <c r="A1738" s="6" t="s">
        <v>859</v>
      </c>
      <c r="B1738" s="6" t="s">
        <v>860</v>
      </c>
      <c r="D1738" s="4" t="s">
        <v>861</v>
      </c>
      <c r="E1738" s="5">
        <f>50000-3700-10000-5000</f>
        <v>31300</v>
      </c>
      <c r="F1738" s="4" t="s">
        <v>862</v>
      </c>
    </row>
    <row r="1739" spans="1:6" x14ac:dyDescent="0.25">
      <c r="A1739" s="6" t="s">
        <v>859</v>
      </c>
      <c r="B1739" s="11" t="s">
        <v>863</v>
      </c>
      <c r="D1739" s="4" t="s">
        <v>864</v>
      </c>
      <c r="E1739" s="5">
        <f>2000-2000</f>
        <v>0</v>
      </c>
    </row>
    <row r="1740" spans="1:6" x14ac:dyDescent="0.25">
      <c r="A1740" s="6" t="s">
        <v>859</v>
      </c>
      <c r="B1740" s="6" t="s">
        <v>36</v>
      </c>
      <c r="D1740" s="4" t="s">
        <v>157</v>
      </c>
      <c r="E1740" s="5">
        <v>0</v>
      </c>
    </row>
    <row r="1741" spans="1:6" x14ac:dyDescent="0.25">
      <c r="A1741" s="6" t="s">
        <v>859</v>
      </c>
      <c r="B1741" s="11" t="s">
        <v>865</v>
      </c>
      <c r="D1741" s="4" t="s">
        <v>157</v>
      </c>
      <c r="E1741" s="5">
        <f>4300+2000+3700+5000</f>
        <v>15000</v>
      </c>
      <c r="F1741" s="4" t="s">
        <v>866</v>
      </c>
    </row>
    <row r="1742" spans="1:6" x14ac:dyDescent="0.25">
      <c r="A1742" s="6" t="s">
        <v>859</v>
      </c>
      <c r="B1742" s="6" t="s">
        <v>17</v>
      </c>
      <c r="D1742" s="4" t="s">
        <v>18</v>
      </c>
      <c r="E1742" s="5">
        <f>SUM(E1737:E1741)*B3801</f>
        <v>2870.6</v>
      </c>
    </row>
    <row r="1743" spans="1:6" x14ac:dyDescent="0.25">
      <c r="A1743" s="6" t="s">
        <v>859</v>
      </c>
      <c r="B1743" s="6" t="s">
        <v>19</v>
      </c>
      <c r="D1743" s="4" t="s">
        <v>20</v>
      </c>
      <c r="E1743" s="5">
        <f>SUM(E1737:E1741)*B3802</f>
        <v>671.35</v>
      </c>
    </row>
    <row r="1744" spans="1:6" x14ac:dyDescent="0.25">
      <c r="A1744" s="6" t="s">
        <v>859</v>
      </c>
      <c r="B1744" s="6" t="s">
        <v>21</v>
      </c>
      <c r="D1744" s="4" t="s">
        <v>22</v>
      </c>
      <c r="E1744" s="5">
        <f>SUM(E1737:E1741)*B3803-15.02</f>
        <v>10791.4</v>
      </c>
    </row>
    <row r="1745" spans="1:6" x14ac:dyDescent="0.25">
      <c r="A1745" s="6" t="s">
        <v>859</v>
      </c>
      <c r="B1745" s="11" t="s">
        <v>867</v>
      </c>
      <c r="D1745" s="4" t="s">
        <v>585</v>
      </c>
      <c r="E1745" s="5">
        <f>79000-15000</f>
        <v>64000</v>
      </c>
      <c r="F1745" s="4" t="s">
        <v>866</v>
      </c>
    </row>
    <row r="1747" spans="1:6" x14ac:dyDescent="0.25">
      <c r="A1747" s="6" t="s">
        <v>868</v>
      </c>
      <c r="B1747" s="6" t="s">
        <v>4</v>
      </c>
      <c r="C1747" s="6" t="s">
        <v>4</v>
      </c>
      <c r="D1747" s="4" t="s">
        <v>4</v>
      </c>
      <c r="E1747" s="5">
        <f>SUM(E1737:E1745)</f>
        <v>124633.35</v>
      </c>
    </row>
    <row r="1749" spans="1:6" hidden="1" x14ac:dyDescent="0.25">
      <c r="A1749" s="6" t="s">
        <v>869</v>
      </c>
    </row>
    <row r="1750" spans="1:6" hidden="1" x14ac:dyDescent="0.25">
      <c r="A1750" s="6" t="s">
        <v>12</v>
      </c>
    </row>
    <row r="1751" spans="1:6" hidden="1" x14ac:dyDescent="0.25">
      <c r="A1751" s="6" t="s">
        <v>870</v>
      </c>
      <c r="B1751" s="6" t="s">
        <v>46</v>
      </c>
      <c r="D1751" s="4" t="s">
        <v>47</v>
      </c>
      <c r="E1751" s="5">
        <v>0</v>
      </c>
    </row>
    <row r="1752" spans="1:6" hidden="1" x14ac:dyDescent="0.25"/>
    <row r="1753" spans="1:6" hidden="1" x14ac:dyDescent="0.25">
      <c r="A1753" s="6" t="s">
        <v>871</v>
      </c>
      <c r="B1753" s="6" t="s">
        <v>4</v>
      </c>
      <c r="C1753" s="6" t="s">
        <v>4</v>
      </c>
      <c r="D1753" s="4" t="s">
        <v>4</v>
      </c>
      <c r="E1753" s="5">
        <f>E1751</f>
        <v>0</v>
      </c>
    </row>
    <row r="1754" spans="1:6" hidden="1" x14ac:dyDescent="0.25"/>
    <row r="1755" spans="1:6" x14ac:dyDescent="0.25">
      <c r="A1755" s="6" t="s">
        <v>872</v>
      </c>
    </row>
    <row r="1756" spans="1:6" x14ac:dyDescent="0.25">
      <c r="A1756" s="6" t="s">
        <v>12</v>
      </c>
    </row>
    <row r="1757" spans="1:6" x14ac:dyDescent="0.25">
      <c r="A1757" s="6" t="s">
        <v>873</v>
      </c>
      <c r="B1757" s="6" t="s">
        <v>53</v>
      </c>
      <c r="D1757" s="4" t="s">
        <v>54</v>
      </c>
      <c r="E1757" s="5">
        <v>286389</v>
      </c>
    </row>
    <row r="1758" spans="1:6" x14ac:dyDescent="0.25">
      <c r="A1758" s="6" t="s">
        <v>873</v>
      </c>
      <c r="B1758" s="11" t="s">
        <v>34</v>
      </c>
      <c r="D1758" s="4" t="s">
        <v>57</v>
      </c>
      <c r="E1758" s="5">
        <f>4000+2000</f>
        <v>6000</v>
      </c>
    </row>
    <row r="1759" spans="1:6" x14ac:dyDescent="0.25">
      <c r="A1759" s="6" t="s">
        <v>873</v>
      </c>
      <c r="B1759" s="6" t="s">
        <v>14</v>
      </c>
      <c r="D1759" s="4" t="s">
        <v>15</v>
      </c>
      <c r="E1759" s="5">
        <f>32865-32865</f>
        <v>0</v>
      </c>
    </row>
    <row r="1760" spans="1:6" x14ac:dyDescent="0.25">
      <c r="A1760" s="6" t="s">
        <v>873</v>
      </c>
      <c r="B1760" s="6" t="s">
        <v>17</v>
      </c>
      <c r="D1760" s="4" t="s">
        <v>18</v>
      </c>
      <c r="E1760" s="5">
        <f>E1759*B3801</f>
        <v>0</v>
      </c>
    </row>
    <row r="1761" spans="1:5" x14ac:dyDescent="0.25">
      <c r="A1761" s="6" t="s">
        <v>873</v>
      </c>
      <c r="B1761" s="6" t="s">
        <v>19</v>
      </c>
      <c r="D1761" s="4" t="s">
        <v>20</v>
      </c>
      <c r="E1761" s="5">
        <f>SUM(E1757:E1759)*B3802</f>
        <v>4239.6405000000004</v>
      </c>
    </row>
    <row r="1762" spans="1:5" x14ac:dyDescent="0.25">
      <c r="A1762" s="6" t="s">
        <v>873</v>
      </c>
      <c r="B1762" s="11" t="s">
        <v>40</v>
      </c>
      <c r="D1762" s="4" t="s">
        <v>60</v>
      </c>
      <c r="E1762" s="5">
        <f>(E1757+E1758)*B3799</f>
        <v>8771.67</v>
      </c>
    </row>
    <row r="1763" spans="1:5" x14ac:dyDescent="0.25">
      <c r="A1763" s="6" t="s">
        <v>873</v>
      </c>
      <c r="B1763" s="6" t="s">
        <v>21</v>
      </c>
      <c r="D1763" s="4" t="s">
        <v>22</v>
      </c>
      <c r="E1763" s="5">
        <f>E1759*B3803</f>
        <v>0</v>
      </c>
    </row>
    <row r="1764" spans="1:5" x14ac:dyDescent="0.25">
      <c r="A1764" s="6" t="s">
        <v>873</v>
      </c>
      <c r="B1764" s="6" t="s">
        <v>70</v>
      </c>
      <c r="D1764" s="4" t="s">
        <v>531</v>
      </c>
    </row>
    <row r="1765" spans="1:5" x14ac:dyDescent="0.25">
      <c r="A1765" s="6" t="s">
        <v>873</v>
      </c>
      <c r="B1765" s="6" t="s">
        <v>46</v>
      </c>
      <c r="D1765" s="4" t="s">
        <v>47</v>
      </c>
      <c r="E1765" s="5">
        <v>0</v>
      </c>
    </row>
    <row r="1767" spans="1:5" x14ac:dyDescent="0.25">
      <c r="A1767" s="6" t="s">
        <v>874</v>
      </c>
      <c r="B1767" s="6" t="s">
        <v>4</v>
      </c>
      <c r="C1767" s="6" t="s">
        <v>4</v>
      </c>
      <c r="D1767" s="4" t="s">
        <v>4</v>
      </c>
      <c r="E1767" s="5">
        <f>SUM(E1757:E1765)</f>
        <v>305400.31049999996</v>
      </c>
    </row>
    <row r="1769" spans="1:5" x14ac:dyDescent="0.25">
      <c r="A1769" s="11" t="s">
        <v>875</v>
      </c>
    </row>
    <row r="1771" spans="1:5" x14ac:dyDescent="0.25">
      <c r="A1771" s="11" t="s">
        <v>876</v>
      </c>
      <c r="B1771" s="11" t="s">
        <v>14</v>
      </c>
      <c r="D1771" s="4" t="s">
        <v>15</v>
      </c>
      <c r="E1771" s="5">
        <v>45118</v>
      </c>
    </row>
    <row r="1772" spans="1:5" x14ac:dyDescent="0.25">
      <c r="A1772" s="11" t="s">
        <v>876</v>
      </c>
      <c r="B1772" s="11" t="s">
        <v>25</v>
      </c>
      <c r="D1772" s="4" t="s">
        <v>58</v>
      </c>
      <c r="E1772" s="5">
        <f>200*2</f>
        <v>400</v>
      </c>
    </row>
    <row r="1773" spans="1:5" x14ac:dyDescent="0.25">
      <c r="A1773" s="11" t="s">
        <v>876</v>
      </c>
      <c r="B1773" s="11" t="s">
        <v>17</v>
      </c>
      <c r="D1773" s="4" t="s">
        <v>18</v>
      </c>
      <c r="E1773" s="14">
        <f>(E1771+E1772)*B3801</f>
        <v>2822.116</v>
      </c>
    </row>
    <row r="1774" spans="1:5" x14ac:dyDescent="0.25">
      <c r="A1774" s="11" t="s">
        <v>876</v>
      </c>
      <c r="B1774" s="11" t="s">
        <v>19</v>
      </c>
      <c r="D1774" s="4" t="s">
        <v>20</v>
      </c>
      <c r="E1774" s="5">
        <f>SUM(E1771:E1772)*B3802</f>
        <v>660.01100000000008</v>
      </c>
    </row>
    <row r="1775" spans="1:5" x14ac:dyDescent="0.25">
      <c r="A1775" s="11" t="s">
        <v>876</v>
      </c>
      <c r="B1775" s="11" t="s">
        <v>40</v>
      </c>
      <c r="D1775" s="4" t="s">
        <v>60</v>
      </c>
      <c r="E1775" s="5">
        <v>0</v>
      </c>
    </row>
    <row r="1776" spans="1:5" x14ac:dyDescent="0.25">
      <c r="A1776" s="11" t="s">
        <v>876</v>
      </c>
      <c r="B1776" s="11" t="s">
        <v>21</v>
      </c>
      <c r="D1776" s="4" t="s">
        <v>22</v>
      </c>
      <c r="E1776" s="5">
        <f>(E1771+E1772)*B3803</f>
        <v>10623.9012</v>
      </c>
    </row>
    <row r="1777" spans="1:5" x14ac:dyDescent="0.25">
      <c r="A1777" s="12"/>
      <c r="B1777" s="12"/>
    </row>
    <row r="1778" spans="1:5" x14ac:dyDescent="0.25">
      <c r="A1778" s="6" t="s">
        <v>877</v>
      </c>
      <c r="B1778" s="12"/>
      <c r="E1778" s="5">
        <f>SUM(E1771:E1776)</f>
        <v>59624.028200000001</v>
      </c>
    </row>
    <row r="1780" spans="1:5" x14ac:dyDescent="0.25">
      <c r="A1780" s="6" t="s">
        <v>878</v>
      </c>
    </row>
    <row r="1781" spans="1:5" x14ac:dyDescent="0.25">
      <c r="A1781" s="6" t="s">
        <v>12</v>
      </c>
    </row>
    <row r="1782" spans="1:5" x14ac:dyDescent="0.25">
      <c r="A1782" s="6" t="s">
        <v>879</v>
      </c>
      <c r="B1782" s="6" t="s">
        <v>53</v>
      </c>
      <c r="D1782" s="4" t="s">
        <v>54</v>
      </c>
      <c r="E1782" s="5">
        <v>78622</v>
      </c>
    </row>
    <row r="1783" spans="1:5" x14ac:dyDescent="0.25">
      <c r="A1783" s="6" t="s">
        <v>879</v>
      </c>
      <c r="B1783" s="6" t="s">
        <v>19</v>
      </c>
      <c r="D1783" s="4" t="s">
        <v>20</v>
      </c>
      <c r="E1783" s="5">
        <f>E1782*B3798</f>
        <v>1140.019</v>
      </c>
    </row>
    <row r="1784" spans="1:5" x14ac:dyDescent="0.25">
      <c r="A1784" s="6" t="s">
        <v>879</v>
      </c>
      <c r="B1784" s="11" t="s">
        <v>40</v>
      </c>
      <c r="D1784" s="4" t="s">
        <v>60</v>
      </c>
      <c r="E1784" s="5">
        <f>E1782*B3799</f>
        <v>2358.66</v>
      </c>
    </row>
    <row r="1785" spans="1:5" x14ac:dyDescent="0.25">
      <c r="A1785" s="6" t="s">
        <v>879</v>
      </c>
      <c r="B1785" s="6" t="s">
        <v>46</v>
      </c>
      <c r="D1785" s="4" t="s">
        <v>47</v>
      </c>
      <c r="E1785" s="5">
        <v>0</v>
      </c>
    </row>
    <row r="1787" spans="1:5" x14ac:dyDescent="0.25">
      <c r="A1787" s="6" t="s">
        <v>880</v>
      </c>
      <c r="B1787" s="6" t="s">
        <v>4</v>
      </c>
      <c r="C1787" s="6" t="s">
        <v>4</v>
      </c>
      <c r="D1787" s="4" t="s">
        <v>4</v>
      </c>
      <c r="E1787" s="5">
        <f>SUM(E1782:E1785)</f>
        <v>82120.679000000004</v>
      </c>
    </row>
    <row r="1789" spans="1:5" x14ac:dyDescent="0.25">
      <c r="A1789" s="6" t="s">
        <v>881</v>
      </c>
    </row>
    <row r="1790" spans="1:5" x14ac:dyDescent="0.25">
      <c r="A1790" s="6" t="s">
        <v>12</v>
      </c>
    </row>
    <row r="1791" spans="1:5" x14ac:dyDescent="0.25">
      <c r="A1791" s="6" t="s">
        <v>882</v>
      </c>
      <c r="B1791" s="6" t="s">
        <v>53</v>
      </c>
      <c r="D1791" s="4" t="s">
        <v>54</v>
      </c>
      <c r="E1791" s="5">
        <v>254862</v>
      </c>
    </row>
    <row r="1792" spans="1:5" x14ac:dyDescent="0.25">
      <c r="A1792" s="6" t="s">
        <v>882</v>
      </c>
      <c r="B1792" s="6" t="s">
        <v>55</v>
      </c>
      <c r="D1792" s="4" t="s">
        <v>56</v>
      </c>
      <c r="E1792" s="5">
        <v>0</v>
      </c>
    </row>
    <row r="1793" spans="1:6" x14ac:dyDescent="0.25">
      <c r="A1793" s="6" t="s">
        <v>882</v>
      </c>
      <c r="B1793" s="11" t="s">
        <v>34</v>
      </c>
      <c r="D1793" s="4" t="s">
        <v>57</v>
      </c>
      <c r="E1793" s="5">
        <v>10627</v>
      </c>
    </row>
    <row r="1794" spans="1:6" x14ac:dyDescent="0.25">
      <c r="A1794" s="6" t="s">
        <v>882</v>
      </c>
      <c r="B1794" s="6" t="s">
        <v>14</v>
      </c>
      <c r="D1794" s="4" t="s">
        <v>15</v>
      </c>
      <c r="E1794" s="5">
        <v>285519</v>
      </c>
    </row>
    <row r="1795" spans="1:6" x14ac:dyDescent="0.25">
      <c r="A1795" s="6" t="s">
        <v>882</v>
      </c>
      <c r="B1795" s="6" t="s">
        <v>14</v>
      </c>
      <c r="D1795" s="4" t="s">
        <v>15</v>
      </c>
      <c r="E1795" s="5">
        <v>0</v>
      </c>
      <c r="F1795" s="4" t="s">
        <v>883</v>
      </c>
    </row>
    <row r="1796" spans="1:6" x14ac:dyDescent="0.25">
      <c r="A1796" s="6" t="s">
        <v>882</v>
      </c>
      <c r="B1796" s="11" t="s">
        <v>25</v>
      </c>
      <c r="D1796" s="4" t="s">
        <v>58</v>
      </c>
      <c r="E1796" s="5">
        <f>1500+2500</f>
        <v>4000</v>
      </c>
    </row>
    <row r="1797" spans="1:6" x14ac:dyDescent="0.25">
      <c r="A1797" s="6" t="s">
        <v>882</v>
      </c>
      <c r="B1797" s="6" t="s">
        <v>17</v>
      </c>
      <c r="D1797" s="4" t="s">
        <v>18</v>
      </c>
      <c r="E1797" s="5">
        <f>(E1794+E1796)*B3801</f>
        <v>17950.178</v>
      </c>
    </row>
    <row r="1798" spans="1:6" x14ac:dyDescent="0.25">
      <c r="A1798" s="6" t="s">
        <v>882</v>
      </c>
      <c r="B1798" s="6" t="s">
        <v>19</v>
      </c>
      <c r="D1798" s="4" t="s">
        <v>20</v>
      </c>
      <c r="E1798" s="5">
        <f>(SUM(E1791:E1794)+E1796)*B3802</f>
        <v>8047.616</v>
      </c>
    </row>
    <row r="1799" spans="1:6" x14ac:dyDescent="0.25">
      <c r="A1799" s="6" t="s">
        <v>882</v>
      </c>
      <c r="B1799" s="6" t="s">
        <v>40</v>
      </c>
      <c r="D1799" s="4" t="s">
        <v>60</v>
      </c>
      <c r="E1799" s="5">
        <f>SUM(E1791:E1793)*B3799</f>
        <v>7964.67</v>
      </c>
    </row>
    <row r="1800" spans="1:6" x14ac:dyDescent="0.25">
      <c r="A1800" s="6" t="s">
        <v>882</v>
      </c>
      <c r="B1800" s="6" t="s">
        <v>21</v>
      </c>
      <c r="D1800" s="4" t="s">
        <v>22</v>
      </c>
      <c r="E1800" s="5">
        <f>(E1794+E1796)*B3803</f>
        <v>67573.734599999996</v>
      </c>
    </row>
    <row r="1801" spans="1:6" x14ac:dyDescent="0.25">
      <c r="A1801" s="6" t="s">
        <v>882</v>
      </c>
      <c r="B1801" s="11" t="s">
        <v>884</v>
      </c>
      <c r="D1801" s="4" t="s">
        <v>45</v>
      </c>
      <c r="E1801" s="5">
        <v>0</v>
      </c>
    </row>
    <row r="1802" spans="1:6" x14ac:dyDescent="0.25">
      <c r="A1802" s="6" t="s">
        <v>882</v>
      </c>
      <c r="B1802" s="11" t="s">
        <v>68</v>
      </c>
      <c r="D1802" s="4" t="s">
        <v>885</v>
      </c>
      <c r="E1802" s="5">
        <v>0</v>
      </c>
    </row>
    <row r="1803" spans="1:6" x14ac:dyDescent="0.25">
      <c r="A1803" s="6" t="s">
        <v>882</v>
      </c>
      <c r="B1803" s="11" t="s">
        <v>112</v>
      </c>
      <c r="D1803" s="4" t="s">
        <v>297</v>
      </c>
      <c r="E1803" s="5">
        <v>0</v>
      </c>
    </row>
    <row r="1805" spans="1:6" x14ac:dyDescent="0.25">
      <c r="A1805" s="6" t="s">
        <v>886</v>
      </c>
      <c r="B1805" s="6" t="s">
        <v>4</v>
      </c>
      <c r="C1805" s="6" t="s">
        <v>4</v>
      </c>
      <c r="D1805" s="4" t="s">
        <v>4</v>
      </c>
      <c r="E1805" s="5">
        <f>SUM(E1791:E1803)</f>
        <v>656544.1986</v>
      </c>
    </row>
    <row r="1807" spans="1:6" x14ac:dyDescent="0.25">
      <c r="A1807" s="6" t="s">
        <v>887</v>
      </c>
    </row>
    <row r="1808" spans="1:6" x14ac:dyDescent="0.25">
      <c r="A1808" s="6" t="s">
        <v>12</v>
      </c>
    </row>
    <row r="1809" spans="1:5" x14ac:dyDescent="0.25">
      <c r="A1809" s="6" t="s">
        <v>888</v>
      </c>
      <c r="B1809" s="6" t="s">
        <v>14</v>
      </c>
      <c r="D1809" s="4" t="s">
        <v>15</v>
      </c>
      <c r="E1809" s="5">
        <v>466227</v>
      </c>
    </row>
    <row r="1810" spans="1:5" x14ac:dyDescent="0.25">
      <c r="A1810" s="6" t="s">
        <v>888</v>
      </c>
      <c r="B1810" s="11" t="s">
        <v>25</v>
      </c>
      <c r="D1810" s="4" t="s">
        <v>58</v>
      </c>
      <c r="E1810" s="5">
        <f>6500+21253</f>
        <v>27753</v>
      </c>
    </row>
    <row r="1811" spans="1:5" x14ac:dyDescent="0.25">
      <c r="A1811" s="6" t="s">
        <v>888</v>
      </c>
      <c r="B1811" s="6" t="s">
        <v>36</v>
      </c>
      <c r="D1811" s="4" t="s">
        <v>157</v>
      </c>
      <c r="E1811" s="5">
        <v>16000</v>
      </c>
    </row>
    <row r="1812" spans="1:5" x14ac:dyDescent="0.25">
      <c r="A1812" s="6" t="s">
        <v>888</v>
      </c>
      <c r="B1812" s="11" t="s">
        <v>104</v>
      </c>
      <c r="D1812" s="4" t="s">
        <v>889</v>
      </c>
      <c r="E1812" s="5">
        <v>500</v>
      </c>
    </row>
    <row r="1813" spans="1:5" x14ac:dyDescent="0.25">
      <c r="A1813" s="6" t="s">
        <v>888</v>
      </c>
      <c r="B1813" s="6" t="s">
        <v>17</v>
      </c>
      <c r="D1813" s="4" t="s">
        <v>18</v>
      </c>
      <c r="E1813" s="5">
        <f>SUM(E1809:E1812)*B3801</f>
        <v>31649.759999999998</v>
      </c>
    </row>
    <row r="1814" spans="1:5" x14ac:dyDescent="0.25">
      <c r="A1814" s="6" t="s">
        <v>888</v>
      </c>
      <c r="B1814" s="6" t="s">
        <v>19</v>
      </c>
      <c r="D1814" s="4" t="s">
        <v>20</v>
      </c>
      <c r="E1814" s="5">
        <f>SUM(E1809:E1812)*B3802</f>
        <v>7401.96</v>
      </c>
    </row>
    <row r="1815" spans="1:5" x14ac:dyDescent="0.25">
      <c r="A1815" s="6" t="s">
        <v>888</v>
      </c>
      <c r="B1815" s="6" t="s">
        <v>21</v>
      </c>
      <c r="D1815" s="4" t="s">
        <v>22</v>
      </c>
      <c r="E1815" s="5">
        <f>SUM(E1809:E1812)*B3803-470.29</f>
        <v>118675.742</v>
      </c>
    </row>
    <row r="1817" spans="1:5" x14ac:dyDescent="0.25">
      <c r="A1817" s="6" t="s">
        <v>890</v>
      </c>
      <c r="B1817" s="6" t="s">
        <v>4</v>
      </c>
      <c r="C1817" s="6" t="s">
        <v>4</v>
      </c>
      <c r="D1817" s="4" t="s">
        <v>4</v>
      </c>
      <c r="E1817" s="5">
        <f>SUM(E1809:E1815)</f>
        <v>668207.46199999994</v>
      </c>
    </row>
    <row r="1819" spans="1:5" x14ac:dyDescent="0.25">
      <c r="A1819" s="6" t="s">
        <v>891</v>
      </c>
    </row>
    <row r="1820" spans="1:5" x14ac:dyDescent="0.25">
      <c r="A1820" s="6" t="s">
        <v>12</v>
      </c>
    </row>
    <row r="1821" spans="1:5" x14ac:dyDescent="0.25">
      <c r="A1821" s="6" t="s">
        <v>892</v>
      </c>
      <c r="B1821" s="6" t="s">
        <v>14</v>
      </c>
      <c r="D1821" s="4" t="s">
        <v>15</v>
      </c>
      <c r="E1821" s="5">
        <v>66898</v>
      </c>
    </row>
    <row r="1822" spans="1:5" x14ac:dyDescent="0.25">
      <c r="A1822" s="6" t="s">
        <v>892</v>
      </c>
      <c r="B1822" s="6" t="s">
        <v>17</v>
      </c>
      <c r="D1822" s="4" t="s">
        <v>18</v>
      </c>
      <c r="E1822" s="5">
        <f>E1821*B3801</f>
        <v>4147.6760000000004</v>
      </c>
    </row>
    <row r="1823" spans="1:5" x14ac:dyDescent="0.25">
      <c r="A1823" s="6" t="s">
        <v>892</v>
      </c>
      <c r="B1823" s="6" t="s">
        <v>19</v>
      </c>
      <c r="D1823" s="4" t="s">
        <v>20</v>
      </c>
      <c r="E1823" s="5">
        <f>E1821*B3802</f>
        <v>970.02100000000007</v>
      </c>
    </row>
    <row r="1824" spans="1:5" x14ac:dyDescent="0.25">
      <c r="A1824" s="6" t="s">
        <v>892</v>
      </c>
      <c r="B1824" s="6" t="s">
        <v>21</v>
      </c>
      <c r="D1824" s="4" t="s">
        <v>22</v>
      </c>
      <c r="E1824" s="5">
        <f>E1821*B3803</f>
        <v>15613.993199999999</v>
      </c>
    </row>
    <row r="1825" spans="1:7" x14ac:dyDescent="0.25">
      <c r="A1825" s="6" t="s">
        <v>892</v>
      </c>
      <c r="B1825" s="6" t="s">
        <v>159</v>
      </c>
      <c r="D1825" s="4" t="s">
        <v>160</v>
      </c>
      <c r="E1825" s="5">
        <f>16000+500+500</f>
        <v>17000</v>
      </c>
      <c r="F1825" s="4" t="s">
        <v>893</v>
      </c>
    </row>
    <row r="1827" spans="1:7" x14ac:dyDescent="0.25">
      <c r="A1827" s="6" t="s">
        <v>785</v>
      </c>
      <c r="B1827" s="6" t="s">
        <v>4</v>
      </c>
      <c r="C1827" s="6" t="s">
        <v>4</v>
      </c>
      <c r="D1827" s="4" t="s">
        <v>4</v>
      </c>
      <c r="E1827" s="5">
        <f>SUM(E1821:E1825)</f>
        <v>104629.6902</v>
      </c>
    </row>
    <row r="1829" spans="1:7" x14ac:dyDescent="0.25">
      <c r="A1829" s="6" t="s">
        <v>894</v>
      </c>
    </row>
    <row r="1830" spans="1:7" x14ac:dyDescent="0.25">
      <c r="A1830" s="6" t="s">
        <v>12</v>
      </c>
    </row>
    <row r="1831" spans="1:7" x14ac:dyDescent="0.25">
      <c r="A1831" s="6" t="s">
        <v>895</v>
      </c>
      <c r="B1831" s="6" t="s">
        <v>53</v>
      </c>
      <c r="D1831" s="4" t="s">
        <v>54</v>
      </c>
    </row>
    <row r="1832" spans="1:7" x14ac:dyDescent="0.25">
      <c r="A1832" s="6" t="s">
        <v>895</v>
      </c>
      <c r="B1832" s="6" t="s">
        <v>53</v>
      </c>
      <c r="D1832" s="4" t="s">
        <v>54</v>
      </c>
      <c r="E1832" s="5">
        <v>1981975</v>
      </c>
    </row>
    <row r="1833" spans="1:7" x14ac:dyDescent="0.25">
      <c r="A1833" s="6" t="s">
        <v>895</v>
      </c>
      <c r="B1833" s="11" t="s">
        <v>55</v>
      </c>
      <c r="D1833" s="4" t="s">
        <v>56</v>
      </c>
      <c r="E1833" s="5">
        <v>0</v>
      </c>
    </row>
    <row r="1834" spans="1:7" x14ac:dyDescent="0.25">
      <c r="A1834" s="6" t="s">
        <v>895</v>
      </c>
      <c r="B1834" s="11" t="s">
        <v>34</v>
      </c>
      <c r="D1834" s="4" t="s">
        <v>57</v>
      </c>
      <c r="E1834" s="5">
        <v>4375</v>
      </c>
    </row>
    <row r="1835" spans="1:7" x14ac:dyDescent="0.25">
      <c r="A1835" s="6" t="s">
        <v>895</v>
      </c>
      <c r="B1835" s="11" t="s">
        <v>249</v>
      </c>
      <c r="D1835" s="4" t="s">
        <v>250</v>
      </c>
      <c r="E1835" s="5">
        <v>2000</v>
      </c>
    </row>
    <row r="1836" spans="1:7" x14ac:dyDescent="0.25">
      <c r="A1836" s="6" t="s">
        <v>895</v>
      </c>
      <c r="B1836" s="6" t="s">
        <v>14</v>
      </c>
      <c r="D1836" s="4" t="s">
        <v>15</v>
      </c>
      <c r="E1836" s="5">
        <v>86060</v>
      </c>
    </row>
    <row r="1837" spans="1:7" x14ac:dyDescent="0.25">
      <c r="A1837" s="6" t="s">
        <v>895</v>
      </c>
      <c r="B1837" s="6" t="s">
        <v>17</v>
      </c>
      <c r="D1837" s="4" t="s">
        <v>18</v>
      </c>
      <c r="E1837" s="5">
        <f>E1836*B3801</f>
        <v>5335.72</v>
      </c>
    </row>
    <row r="1838" spans="1:7" x14ac:dyDescent="0.25">
      <c r="A1838" s="6" t="s">
        <v>895</v>
      </c>
      <c r="B1838" s="6" t="s">
        <v>19</v>
      </c>
      <c r="D1838" s="4" t="s">
        <v>20</v>
      </c>
      <c r="E1838" s="5">
        <f>SUM(E1832:E1836)*B3802</f>
        <v>30078.945</v>
      </c>
    </row>
    <row r="1839" spans="1:7" x14ac:dyDescent="0.25">
      <c r="A1839" s="6" t="s">
        <v>895</v>
      </c>
      <c r="B1839" s="6" t="s">
        <v>40</v>
      </c>
      <c r="D1839" s="4" t="s">
        <v>60</v>
      </c>
      <c r="E1839" s="5">
        <f>SUM(E1832:E1835)*B3799+0.07-21.94</f>
        <v>59628.63</v>
      </c>
    </row>
    <row r="1840" spans="1:7" x14ac:dyDescent="0.25">
      <c r="A1840" s="6" t="s">
        <v>895</v>
      </c>
      <c r="B1840" s="6" t="s">
        <v>21</v>
      </c>
      <c r="D1840" s="4" t="s">
        <v>22</v>
      </c>
      <c r="E1840" s="5">
        <f>E1836*B3803</f>
        <v>20086.403999999999</v>
      </c>
      <c r="G1840" s="25">
        <f>62758*0.1291</f>
        <v>8102.0577999999996</v>
      </c>
    </row>
    <row r="1841" spans="1:6" x14ac:dyDescent="0.25">
      <c r="A1841" s="6" t="s">
        <v>895</v>
      </c>
      <c r="B1841" s="6" t="s">
        <v>385</v>
      </c>
      <c r="D1841" s="4" t="s">
        <v>560</v>
      </c>
      <c r="E1841" s="5">
        <v>0</v>
      </c>
    </row>
    <row r="1842" spans="1:6" x14ac:dyDescent="0.25">
      <c r="A1842" s="6" t="s">
        <v>895</v>
      </c>
      <c r="B1842" s="6" t="s">
        <v>46</v>
      </c>
      <c r="D1842" s="4" t="s">
        <v>47</v>
      </c>
      <c r="E1842" s="5">
        <v>129213</v>
      </c>
      <c r="F1842" s="4" t="s">
        <v>789</v>
      </c>
    </row>
    <row r="1843" spans="1:6" x14ac:dyDescent="0.25">
      <c r="A1843" s="6" t="s">
        <v>895</v>
      </c>
      <c r="B1843" s="11" t="s">
        <v>78</v>
      </c>
      <c r="D1843" s="4" t="s">
        <v>230</v>
      </c>
    </row>
    <row r="1844" spans="1:6" x14ac:dyDescent="0.25">
      <c r="A1844" s="6" t="s">
        <v>895</v>
      </c>
      <c r="B1844" s="11" t="s">
        <v>27</v>
      </c>
      <c r="D1844" s="4" t="s">
        <v>585</v>
      </c>
      <c r="E1844" s="5">
        <v>0</v>
      </c>
    </row>
    <row r="1845" spans="1:6" x14ac:dyDescent="0.25">
      <c r="A1845" s="11" t="s">
        <v>895</v>
      </c>
      <c r="B1845" s="11" t="s">
        <v>896</v>
      </c>
      <c r="D1845" s="4" t="s">
        <v>897</v>
      </c>
      <c r="E1845" s="5">
        <v>0</v>
      </c>
    </row>
    <row r="1846" spans="1:6" x14ac:dyDescent="0.25">
      <c r="A1846" s="11" t="s">
        <v>895</v>
      </c>
      <c r="B1846" s="11" t="s">
        <v>792</v>
      </c>
      <c r="D1846" s="4" t="s">
        <v>898</v>
      </c>
      <c r="E1846" s="5">
        <v>0</v>
      </c>
    </row>
    <row r="1847" spans="1:6" x14ac:dyDescent="0.25">
      <c r="A1847" s="6"/>
      <c r="B1847" s="11"/>
    </row>
    <row r="1848" spans="1:6" x14ac:dyDescent="0.25">
      <c r="A1848" s="6" t="s">
        <v>895</v>
      </c>
      <c r="B1848" s="11" t="s">
        <v>479</v>
      </c>
      <c r="D1848" s="4" t="s">
        <v>502</v>
      </c>
      <c r="E1848" s="5">
        <v>0</v>
      </c>
    </row>
    <row r="1850" spans="1:6" x14ac:dyDescent="0.25">
      <c r="A1850" s="6" t="s">
        <v>899</v>
      </c>
      <c r="B1850" s="6" t="s">
        <v>4</v>
      </c>
      <c r="C1850" s="6" t="s">
        <v>4</v>
      </c>
      <c r="D1850" s="4" t="s">
        <v>4</v>
      </c>
      <c r="E1850" s="5">
        <f>SUM(E1831:E1848)</f>
        <v>2318752.699</v>
      </c>
    </row>
    <row r="1852" spans="1:6" x14ac:dyDescent="0.25">
      <c r="A1852" s="6" t="s">
        <v>900</v>
      </c>
    </row>
    <row r="1853" spans="1:6" x14ac:dyDescent="0.25">
      <c r="A1853" s="6" t="s">
        <v>12</v>
      </c>
    </row>
    <row r="1854" spans="1:6" x14ac:dyDescent="0.25">
      <c r="A1854" s="6" t="s">
        <v>901</v>
      </c>
      <c r="B1854" s="6" t="s">
        <v>53</v>
      </c>
      <c r="D1854" s="4" t="s">
        <v>54</v>
      </c>
      <c r="E1854" s="5">
        <v>53239</v>
      </c>
    </row>
    <row r="1855" spans="1:6" x14ac:dyDescent="0.25">
      <c r="A1855" s="6" t="s">
        <v>901</v>
      </c>
      <c r="B1855" s="6" t="s">
        <v>55</v>
      </c>
      <c r="D1855" s="4" t="s">
        <v>56</v>
      </c>
      <c r="E1855" s="5">
        <v>5468</v>
      </c>
    </row>
    <row r="1856" spans="1:6" x14ac:dyDescent="0.25">
      <c r="A1856" s="6" t="s">
        <v>901</v>
      </c>
      <c r="B1856" s="6" t="s">
        <v>32</v>
      </c>
      <c r="D1856" s="4" t="s">
        <v>33</v>
      </c>
      <c r="E1856" s="5">
        <v>5713</v>
      </c>
      <c r="F1856" s="4" t="s">
        <v>4</v>
      </c>
    </row>
    <row r="1857" spans="1:6" x14ac:dyDescent="0.25">
      <c r="A1857" s="6" t="s">
        <v>901</v>
      </c>
      <c r="B1857" s="6" t="s">
        <v>19</v>
      </c>
      <c r="D1857" s="4" t="s">
        <v>20</v>
      </c>
      <c r="E1857" s="5">
        <f>SUM(E1854:E1856)*B3798</f>
        <v>934.09</v>
      </c>
      <c r="F1857" s="4" t="s">
        <v>4</v>
      </c>
    </row>
    <row r="1858" spans="1:6" x14ac:dyDescent="0.25">
      <c r="A1858" s="6" t="s">
        <v>901</v>
      </c>
      <c r="B1858" s="11" t="s">
        <v>40</v>
      </c>
      <c r="D1858" s="4" t="s">
        <v>60</v>
      </c>
      <c r="E1858" s="5">
        <f>SUM(E1854:E1856)*B3799</f>
        <v>1932.6</v>
      </c>
    </row>
    <row r="1860" spans="1:6" x14ac:dyDescent="0.25">
      <c r="A1860" s="6" t="s">
        <v>902</v>
      </c>
      <c r="B1860" s="6" t="s">
        <v>4</v>
      </c>
      <c r="C1860" s="6" t="s">
        <v>4</v>
      </c>
      <c r="D1860" s="4" t="s">
        <v>4</v>
      </c>
      <c r="E1860" s="5">
        <f>SUM(E1854:E1858)</f>
        <v>67286.69</v>
      </c>
    </row>
    <row r="1862" spans="1:6" x14ac:dyDescent="0.25">
      <c r="A1862" s="6" t="s">
        <v>903</v>
      </c>
    </row>
    <row r="1863" spans="1:6" x14ac:dyDescent="0.25">
      <c r="A1863" s="6" t="s">
        <v>12</v>
      </c>
    </row>
    <row r="1864" spans="1:6" x14ac:dyDescent="0.25">
      <c r="A1864" s="6" t="s">
        <v>904</v>
      </c>
      <c r="B1864" s="6" t="s">
        <v>53</v>
      </c>
      <c r="D1864" s="4" t="s">
        <v>54</v>
      </c>
      <c r="E1864" s="5">
        <v>620259</v>
      </c>
    </row>
    <row r="1865" spans="1:6" x14ac:dyDescent="0.25">
      <c r="A1865" s="6" t="s">
        <v>904</v>
      </c>
      <c r="B1865" s="11" t="s">
        <v>34</v>
      </c>
      <c r="D1865" s="4" t="s">
        <v>57</v>
      </c>
      <c r="E1865" s="5">
        <v>2000</v>
      </c>
    </row>
    <row r="1866" spans="1:6" x14ac:dyDescent="0.25">
      <c r="A1866" s="6" t="s">
        <v>904</v>
      </c>
      <c r="B1866" s="6" t="s">
        <v>14</v>
      </c>
      <c r="D1866" s="4" t="s">
        <v>15</v>
      </c>
      <c r="E1866" s="5">
        <v>161015</v>
      </c>
    </row>
    <row r="1867" spans="1:6" x14ac:dyDescent="0.25">
      <c r="A1867" s="6" t="s">
        <v>904</v>
      </c>
      <c r="B1867" s="6" t="s">
        <v>17</v>
      </c>
      <c r="D1867" s="4" t="s">
        <v>18</v>
      </c>
      <c r="E1867" s="5">
        <f>E1866*B3801</f>
        <v>9982.93</v>
      </c>
    </row>
    <row r="1868" spans="1:6" x14ac:dyDescent="0.25">
      <c r="A1868" s="6" t="s">
        <v>904</v>
      </c>
      <c r="B1868" s="6" t="s">
        <v>19</v>
      </c>
      <c r="D1868" s="4" t="s">
        <v>20</v>
      </c>
      <c r="E1868" s="5">
        <f>SUM(E1864:E1866)*B3802</f>
        <v>11357.473</v>
      </c>
    </row>
    <row r="1869" spans="1:6" x14ac:dyDescent="0.25">
      <c r="A1869" s="6" t="s">
        <v>904</v>
      </c>
      <c r="B1869" s="11" t="s">
        <v>40</v>
      </c>
      <c r="D1869" s="4" t="s">
        <v>60</v>
      </c>
      <c r="E1869" s="5">
        <f>(E1864+E1865)*B3799</f>
        <v>18667.77</v>
      </c>
    </row>
    <row r="1870" spans="1:6" x14ac:dyDescent="0.25">
      <c r="A1870" s="6" t="s">
        <v>904</v>
      </c>
      <c r="B1870" s="6" t="s">
        <v>21</v>
      </c>
      <c r="D1870" s="4" t="s">
        <v>22</v>
      </c>
      <c r="E1870" s="5">
        <f>E1866*B3803</f>
        <v>37580.900999999998</v>
      </c>
    </row>
    <row r="1871" spans="1:6" x14ac:dyDescent="0.25">
      <c r="A1871" s="6" t="s">
        <v>904</v>
      </c>
      <c r="B1871" s="6" t="s">
        <v>46</v>
      </c>
      <c r="D1871" s="4" t="s">
        <v>47</v>
      </c>
      <c r="E1871" s="5">
        <v>0</v>
      </c>
    </row>
    <row r="1873" spans="1:5" x14ac:dyDescent="0.25">
      <c r="A1873" s="6" t="s">
        <v>905</v>
      </c>
      <c r="B1873" s="6" t="s">
        <v>4</v>
      </c>
      <c r="C1873" s="6" t="s">
        <v>4</v>
      </c>
      <c r="D1873" s="4" t="s">
        <v>4</v>
      </c>
      <c r="E1873" s="5">
        <f>SUM(E1864:E1871)</f>
        <v>860863.07400000002</v>
      </c>
    </row>
    <row r="1874" spans="1:5" x14ac:dyDescent="0.25">
      <c r="A1874" s="6"/>
      <c r="B1874" s="6"/>
      <c r="C1874" s="6"/>
    </row>
    <row r="1875" spans="1:5" x14ac:dyDescent="0.25">
      <c r="A1875" s="11" t="s">
        <v>906</v>
      </c>
      <c r="B1875" s="6"/>
      <c r="C1875" s="6"/>
    </row>
    <row r="1876" spans="1:5" x14ac:dyDescent="0.25">
      <c r="A1876" s="6"/>
      <c r="B1876" s="6"/>
      <c r="C1876" s="6"/>
    </row>
    <row r="1877" spans="1:5" x14ac:dyDescent="0.25">
      <c r="A1877" s="11" t="s">
        <v>907</v>
      </c>
      <c r="B1877" s="11" t="s">
        <v>53</v>
      </c>
      <c r="C1877" s="6"/>
      <c r="D1877" s="4" t="s">
        <v>54</v>
      </c>
      <c r="E1877" s="5">
        <v>211584</v>
      </c>
    </row>
    <row r="1878" spans="1:5" x14ac:dyDescent="0.25">
      <c r="A1878" s="11" t="s">
        <v>907</v>
      </c>
      <c r="B1878" s="11" t="s">
        <v>34</v>
      </c>
      <c r="C1878" s="6"/>
      <c r="D1878" s="4" t="s">
        <v>57</v>
      </c>
      <c r="E1878" s="5">
        <v>2000</v>
      </c>
    </row>
    <row r="1879" spans="1:5" x14ac:dyDescent="0.25">
      <c r="A1879" s="11" t="s">
        <v>907</v>
      </c>
      <c r="B1879" s="11" t="s">
        <v>14</v>
      </c>
      <c r="C1879" s="6"/>
      <c r="D1879" s="4" t="s">
        <v>15</v>
      </c>
      <c r="E1879" s="5">
        <v>73793</v>
      </c>
    </row>
    <row r="1880" spans="1:5" x14ac:dyDescent="0.25">
      <c r="A1880" s="11" t="s">
        <v>907</v>
      </c>
      <c r="B1880" s="11" t="s">
        <v>17</v>
      </c>
      <c r="C1880" s="6"/>
      <c r="D1880" s="4" t="s">
        <v>18</v>
      </c>
      <c r="E1880" s="5">
        <f>E1879*B3801</f>
        <v>4575.1660000000002</v>
      </c>
    </row>
    <row r="1881" spans="1:5" x14ac:dyDescent="0.25">
      <c r="A1881" s="11" t="s">
        <v>907</v>
      </c>
      <c r="B1881" s="11" t="s">
        <v>19</v>
      </c>
      <c r="C1881" s="6"/>
      <c r="D1881" s="4" t="s">
        <v>20</v>
      </c>
      <c r="E1881" s="5">
        <f>SUM(E1877:E1879)*B3802</f>
        <v>4166.9665000000005</v>
      </c>
    </row>
    <row r="1882" spans="1:5" x14ac:dyDescent="0.25">
      <c r="A1882" s="11" t="s">
        <v>907</v>
      </c>
      <c r="B1882" s="11" t="s">
        <v>40</v>
      </c>
      <c r="C1882" s="6"/>
      <c r="D1882" s="4" t="s">
        <v>60</v>
      </c>
      <c r="E1882" s="5">
        <f>SUM(E1877:E1878)*B3799</f>
        <v>6407.5199999999995</v>
      </c>
    </row>
    <row r="1883" spans="1:5" x14ac:dyDescent="0.25">
      <c r="A1883" s="11" t="s">
        <v>907</v>
      </c>
      <c r="B1883" s="11" t="s">
        <v>21</v>
      </c>
      <c r="C1883" s="6"/>
      <c r="D1883" s="4" t="s">
        <v>22</v>
      </c>
      <c r="E1883" s="5">
        <f>E1879*B3803</f>
        <v>17223.286199999999</v>
      </c>
    </row>
    <row r="1884" spans="1:5" x14ac:dyDescent="0.25">
      <c r="A1884" s="11"/>
      <c r="B1884" s="11"/>
      <c r="C1884" s="6"/>
    </row>
    <row r="1885" spans="1:5" x14ac:dyDescent="0.25">
      <c r="A1885" s="6" t="s">
        <v>908</v>
      </c>
      <c r="B1885" s="6"/>
      <c r="C1885" s="6"/>
      <c r="E1885" s="5">
        <f>SUM(E1877:E1883)</f>
        <v>319749.9387</v>
      </c>
    </row>
    <row r="1886" spans="1:5" x14ac:dyDescent="0.25">
      <c r="A1886" s="6"/>
      <c r="B1886" s="6"/>
      <c r="C1886" s="6"/>
    </row>
    <row r="1887" spans="1:5" x14ac:dyDescent="0.25">
      <c r="A1887" s="11" t="s">
        <v>909</v>
      </c>
      <c r="B1887" s="6"/>
      <c r="C1887" s="6"/>
    </row>
    <row r="1888" spans="1:5" x14ac:dyDescent="0.25">
      <c r="A1888" s="6"/>
      <c r="B1888" s="6"/>
      <c r="C1888" s="6"/>
    </row>
    <row r="1889" spans="1:5" x14ac:dyDescent="0.25">
      <c r="A1889" s="11" t="s">
        <v>910</v>
      </c>
      <c r="B1889" s="11" t="s">
        <v>911</v>
      </c>
      <c r="D1889" s="4" t="s">
        <v>62</v>
      </c>
    </row>
    <row r="1890" spans="1:5" x14ac:dyDescent="0.25">
      <c r="A1890" s="11" t="s">
        <v>910</v>
      </c>
      <c r="B1890" s="11" t="s">
        <v>912</v>
      </c>
      <c r="D1890" s="4" t="s">
        <v>62</v>
      </c>
    </row>
    <row r="1891" spans="1:5" x14ac:dyDescent="0.25">
      <c r="A1891" s="11" t="s">
        <v>910</v>
      </c>
      <c r="B1891" s="11" t="s">
        <v>61</v>
      </c>
      <c r="D1891" s="4" t="s">
        <v>62</v>
      </c>
      <c r="E1891" s="5">
        <v>2725</v>
      </c>
    </row>
    <row r="1892" spans="1:5" x14ac:dyDescent="0.25">
      <c r="A1892" s="11" t="s">
        <v>910</v>
      </c>
      <c r="B1892" s="11" t="s">
        <v>913</v>
      </c>
      <c r="D1892" s="4" t="s">
        <v>127</v>
      </c>
    </row>
    <row r="1893" spans="1:5" x14ac:dyDescent="0.25">
      <c r="A1893" s="11" t="s">
        <v>910</v>
      </c>
      <c r="B1893" s="11" t="s">
        <v>70</v>
      </c>
      <c r="D1893" s="4" t="s">
        <v>127</v>
      </c>
      <c r="E1893" s="5">
        <v>500</v>
      </c>
    </row>
    <row r="1894" spans="1:5" x14ac:dyDescent="0.25">
      <c r="A1894" s="11" t="s">
        <v>910</v>
      </c>
      <c r="B1894" s="11" t="s">
        <v>914</v>
      </c>
      <c r="D1894" s="4" t="s">
        <v>111</v>
      </c>
    </row>
    <row r="1895" spans="1:5" x14ac:dyDescent="0.25">
      <c r="A1895" s="11" t="s">
        <v>910</v>
      </c>
      <c r="B1895" s="11" t="s">
        <v>72</v>
      </c>
      <c r="D1895" s="4" t="s">
        <v>111</v>
      </c>
      <c r="E1895" s="5">
        <v>300</v>
      </c>
    </row>
    <row r="1896" spans="1:5" x14ac:dyDescent="0.25">
      <c r="A1896" s="11" t="s">
        <v>910</v>
      </c>
      <c r="B1896" s="11" t="s">
        <v>915</v>
      </c>
      <c r="D1896" s="4" t="s">
        <v>75</v>
      </c>
    </row>
    <row r="1897" spans="1:5" x14ac:dyDescent="0.25">
      <c r="A1897" s="11" t="s">
        <v>910</v>
      </c>
      <c r="B1897" s="11" t="s">
        <v>74</v>
      </c>
      <c r="D1897" s="4" t="s">
        <v>75</v>
      </c>
      <c r="E1897" s="5">
        <v>325</v>
      </c>
    </row>
    <row r="1898" spans="1:5" x14ac:dyDescent="0.25">
      <c r="A1898" s="11" t="s">
        <v>910</v>
      </c>
      <c r="B1898" s="11" t="s">
        <v>916</v>
      </c>
      <c r="D1898" s="4" t="s">
        <v>296</v>
      </c>
    </row>
    <row r="1899" spans="1:5" x14ac:dyDescent="0.25">
      <c r="A1899" s="11" t="s">
        <v>910</v>
      </c>
      <c r="B1899" s="11" t="s">
        <v>76</v>
      </c>
      <c r="D1899" s="4" t="s">
        <v>296</v>
      </c>
      <c r="E1899" s="5">
        <v>300</v>
      </c>
    </row>
    <row r="1900" spans="1:5" x14ac:dyDescent="0.25">
      <c r="A1900" s="11" t="s">
        <v>910</v>
      </c>
      <c r="B1900" s="11" t="s">
        <v>917</v>
      </c>
      <c r="D1900" s="4" t="s">
        <v>299</v>
      </c>
    </row>
    <row r="1901" spans="1:5" x14ac:dyDescent="0.25">
      <c r="A1901" s="11" t="s">
        <v>910</v>
      </c>
      <c r="B1901" s="11" t="s">
        <v>918</v>
      </c>
      <c r="D1901" s="4" t="s">
        <v>299</v>
      </c>
    </row>
    <row r="1902" spans="1:5" x14ac:dyDescent="0.25">
      <c r="A1902" s="11" t="s">
        <v>910</v>
      </c>
      <c r="B1902" s="11" t="s">
        <v>298</v>
      </c>
      <c r="D1902" s="4" t="s">
        <v>299</v>
      </c>
      <c r="E1902" s="5">
        <v>1000</v>
      </c>
    </row>
    <row r="1903" spans="1:5" x14ac:dyDescent="0.25">
      <c r="A1903" s="11" t="s">
        <v>910</v>
      </c>
      <c r="B1903" s="11" t="s">
        <v>919</v>
      </c>
      <c r="D1903" s="4" t="s">
        <v>193</v>
      </c>
    </row>
    <row r="1904" spans="1:5" x14ac:dyDescent="0.25">
      <c r="A1904" s="11" t="s">
        <v>910</v>
      </c>
      <c r="B1904" s="11" t="s">
        <v>920</v>
      </c>
      <c r="D1904" s="4" t="s">
        <v>193</v>
      </c>
    </row>
    <row r="1905" spans="1:5" x14ac:dyDescent="0.25">
      <c r="A1905" s="11" t="s">
        <v>910</v>
      </c>
      <c r="B1905" s="11" t="s">
        <v>192</v>
      </c>
      <c r="D1905" s="4" t="s">
        <v>193</v>
      </c>
      <c r="E1905" s="5">
        <v>200</v>
      </c>
    </row>
    <row r="1906" spans="1:5" x14ac:dyDescent="0.25">
      <c r="A1906" s="11" t="s">
        <v>910</v>
      </c>
      <c r="B1906" s="11" t="s">
        <v>921</v>
      </c>
      <c r="D1906" s="4" t="s">
        <v>28</v>
      </c>
    </row>
    <row r="1907" spans="1:5" x14ac:dyDescent="0.25">
      <c r="A1907" s="11" t="s">
        <v>910</v>
      </c>
      <c r="B1907" s="11" t="s">
        <v>922</v>
      </c>
      <c r="D1907" s="4" t="s">
        <v>28</v>
      </c>
    </row>
    <row r="1908" spans="1:5" x14ac:dyDescent="0.25">
      <c r="A1908" s="11" t="s">
        <v>910</v>
      </c>
      <c r="B1908" s="11" t="s">
        <v>27</v>
      </c>
      <c r="D1908" s="4" t="s">
        <v>28</v>
      </c>
      <c r="E1908" s="5">
        <v>2938</v>
      </c>
    </row>
    <row r="1909" spans="1:5" x14ac:dyDescent="0.25">
      <c r="A1909" s="6"/>
      <c r="B1909" s="6"/>
      <c r="C1909" s="6"/>
    </row>
    <row r="1910" spans="1:5" x14ac:dyDescent="0.25">
      <c r="A1910" s="6" t="s">
        <v>923</v>
      </c>
      <c r="B1910" s="6"/>
      <c r="C1910" s="6"/>
      <c r="E1910" s="5">
        <f>SUM(E1889:E1908)</f>
        <v>8288</v>
      </c>
    </row>
    <row r="1911" spans="1:5" x14ac:dyDescent="0.25">
      <c r="A1911" s="6"/>
      <c r="B1911" s="6"/>
      <c r="C1911" s="6"/>
    </row>
    <row r="1912" spans="1:5" hidden="1" x14ac:dyDescent="0.25">
      <c r="A1912" s="6" t="s">
        <v>924</v>
      </c>
    </row>
    <row r="1913" spans="1:5" hidden="1" x14ac:dyDescent="0.25">
      <c r="A1913" s="6" t="s">
        <v>12</v>
      </c>
    </row>
    <row r="1914" spans="1:5" hidden="1" x14ac:dyDescent="0.25">
      <c r="A1914" s="6" t="s">
        <v>925</v>
      </c>
      <c r="B1914" s="6" t="s">
        <v>14</v>
      </c>
      <c r="D1914" s="4" t="s">
        <v>15</v>
      </c>
    </row>
    <row r="1915" spans="1:5" hidden="1" x14ac:dyDescent="0.25">
      <c r="A1915" s="6" t="s">
        <v>925</v>
      </c>
      <c r="B1915" s="6" t="s">
        <v>17</v>
      </c>
      <c r="D1915" s="4" t="s">
        <v>18</v>
      </c>
      <c r="E1915" s="5">
        <f>E1914*B3801</f>
        <v>0</v>
      </c>
    </row>
    <row r="1916" spans="1:5" hidden="1" x14ac:dyDescent="0.25">
      <c r="A1916" s="6" t="s">
        <v>925</v>
      </c>
      <c r="B1916" s="6" t="s">
        <v>19</v>
      </c>
      <c r="D1916" s="4" t="s">
        <v>20</v>
      </c>
      <c r="E1916" s="5">
        <f>E1914*B3802</f>
        <v>0</v>
      </c>
    </row>
    <row r="1917" spans="1:5" hidden="1" x14ac:dyDescent="0.25">
      <c r="A1917" s="6" t="s">
        <v>925</v>
      </c>
      <c r="B1917" s="6" t="s">
        <v>21</v>
      </c>
      <c r="D1917" s="4" t="s">
        <v>22</v>
      </c>
      <c r="E1917" s="5">
        <f>E1914*B3803</f>
        <v>0</v>
      </c>
    </row>
    <row r="1918" spans="1:5" hidden="1" x14ac:dyDescent="0.25">
      <c r="A1918" s="6" t="s">
        <v>925</v>
      </c>
      <c r="B1918" s="6" t="s">
        <v>46</v>
      </c>
      <c r="D1918" s="4" t="s">
        <v>47</v>
      </c>
      <c r="E1918" s="5">
        <v>0</v>
      </c>
    </row>
    <row r="1919" spans="1:5" hidden="1" x14ac:dyDescent="0.25"/>
    <row r="1920" spans="1:5" hidden="1" x14ac:dyDescent="0.25">
      <c r="A1920" s="6" t="s">
        <v>926</v>
      </c>
      <c r="B1920" s="6" t="s">
        <v>4</v>
      </c>
      <c r="C1920" s="6" t="s">
        <v>4</v>
      </c>
      <c r="D1920" s="4" t="s">
        <v>4</v>
      </c>
      <c r="E1920" s="5">
        <f>SUM(E1914:E1918)</f>
        <v>0</v>
      </c>
    </row>
    <row r="1921" spans="1:7" hidden="1" x14ac:dyDescent="0.25"/>
    <row r="1922" spans="1:7" x14ac:dyDescent="0.25">
      <c r="A1922" s="6" t="s">
        <v>927</v>
      </c>
    </row>
    <row r="1923" spans="1:7" x14ac:dyDescent="0.25">
      <c r="A1923" s="6" t="s">
        <v>12</v>
      </c>
    </row>
    <row r="1924" spans="1:7" x14ac:dyDescent="0.25">
      <c r="A1924" s="6" t="s">
        <v>928</v>
      </c>
      <c r="B1924" s="6" t="s">
        <v>929</v>
      </c>
      <c r="D1924" s="4" t="s">
        <v>57</v>
      </c>
    </row>
    <row r="1925" spans="1:7" x14ac:dyDescent="0.25">
      <c r="A1925" s="6" t="s">
        <v>928</v>
      </c>
      <c r="B1925" s="6" t="s">
        <v>53</v>
      </c>
      <c r="D1925" s="4" t="s">
        <v>54</v>
      </c>
      <c r="E1925" s="5">
        <v>40566</v>
      </c>
      <c r="F1925" s="4" t="s">
        <v>930</v>
      </c>
    </row>
    <row r="1926" spans="1:7" x14ac:dyDescent="0.25">
      <c r="A1926" s="6" t="s">
        <v>928</v>
      </c>
      <c r="B1926" s="6" t="s">
        <v>55</v>
      </c>
      <c r="D1926" s="4" t="s">
        <v>56</v>
      </c>
      <c r="E1926" s="5">
        <f>41485+1537+1166+1537+9148+1031-5139.44+9750.88+1255+1569-1765+1889+5093+4686+4445.27</f>
        <v>77687.710000000006</v>
      </c>
    </row>
    <row r="1927" spans="1:7" x14ac:dyDescent="0.25">
      <c r="A1927" s="6" t="s">
        <v>928</v>
      </c>
      <c r="B1927" s="6" t="s">
        <v>32</v>
      </c>
      <c r="D1927" s="4" t="s">
        <v>33</v>
      </c>
      <c r="E1927" s="5">
        <f>66900+6600</f>
        <v>73500</v>
      </c>
    </row>
    <row r="1928" spans="1:7" x14ac:dyDescent="0.25">
      <c r="A1928" s="6" t="s">
        <v>928</v>
      </c>
      <c r="B1928" s="6" t="s">
        <v>34</v>
      </c>
      <c r="D1928" s="4" t="s">
        <v>57</v>
      </c>
      <c r="E1928" s="5">
        <f>26525+10000</f>
        <v>36525</v>
      </c>
      <c r="F1928" s="4" t="s">
        <v>931</v>
      </c>
    </row>
    <row r="1929" spans="1:7" x14ac:dyDescent="0.25">
      <c r="A1929" s="6" t="s">
        <v>928</v>
      </c>
      <c r="B1929" s="6" t="s">
        <v>254</v>
      </c>
      <c r="D1929" s="4" t="s">
        <v>255</v>
      </c>
      <c r="E1929" s="5">
        <f>77000+50000+38000</f>
        <v>165000</v>
      </c>
    </row>
    <row r="1930" spans="1:7" x14ac:dyDescent="0.25">
      <c r="A1930" s="6" t="s">
        <v>928</v>
      </c>
      <c r="B1930" s="6" t="s">
        <v>14</v>
      </c>
      <c r="D1930" s="4" t="s">
        <v>15</v>
      </c>
      <c r="E1930" s="5">
        <v>34915</v>
      </c>
    </row>
    <row r="1931" spans="1:7" x14ac:dyDescent="0.25">
      <c r="A1931" s="6" t="s">
        <v>928</v>
      </c>
      <c r="B1931" s="11" t="s">
        <v>25</v>
      </c>
      <c r="D1931" s="4" t="s">
        <v>58</v>
      </c>
      <c r="E1931" s="5">
        <f>3500+11000+2000+1500+846-6120</f>
        <v>12726</v>
      </c>
    </row>
    <row r="1932" spans="1:7" x14ac:dyDescent="0.25">
      <c r="A1932" s="6" t="s">
        <v>928</v>
      </c>
      <c r="B1932" s="11" t="s">
        <v>648</v>
      </c>
      <c r="D1932" s="4" t="s">
        <v>58</v>
      </c>
      <c r="E1932" s="5">
        <f>25*34*15</f>
        <v>12750</v>
      </c>
      <c r="F1932" s="4" t="s">
        <v>932</v>
      </c>
    </row>
    <row r="1933" spans="1:7" x14ac:dyDescent="0.25">
      <c r="A1933" s="6" t="s">
        <v>928</v>
      </c>
      <c r="B1933" s="11" t="s">
        <v>36</v>
      </c>
      <c r="D1933" s="4" t="s">
        <v>157</v>
      </c>
      <c r="E1933" s="5">
        <v>1000</v>
      </c>
      <c r="G1933" s="26"/>
    </row>
    <row r="1934" spans="1:7" x14ac:dyDescent="0.25">
      <c r="A1934" s="6" t="s">
        <v>928</v>
      </c>
      <c r="B1934" s="6" t="s">
        <v>17</v>
      </c>
      <c r="D1934" s="4" t="s">
        <v>18</v>
      </c>
      <c r="E1934" s="5">
        <f>SUM(E1930:E1933)*B3801</f>
        <v>3806.2420000000002</v>
      </c>
    </row>
    <row r="1935" spans="1:7" x14ac:dyDescent="0.25">
      <c r="A1935" s="6" t="s">
        <v>928</v>
      </c>
      <c r="B1935" s="6" t="s">
        <v>19</v>
      </c>
      <c r="D1935" s="4" t="s">
        <v>20</v>
      </c>
      <c r="E1935" s="14">
        <f>SUM(E1925:E1933)*B3802</f>
        <v>6592.7107950000009</v>
      </c>
    </row>
    <row r="1936" spans="1:7" x14ac:dyDescent="0.25">
      <c r="A1936" s="6" t="s">
        <v>928</v>
      </c>
      <c r="B1936" s="6" t="s">
        <v>40</v>
      </c>
      <c r="D1936" s="4" t="s">
        <v>60</v>
      </c>
      <c r="E1936" s="5">
        <f>SUM(E1924:E1929)*B3799+8102</f>
        <v>19900.3613</v>
      </c>
      <c r="F1936" s="4" t="s">
        <v>933</v>
      </c>
    </row>
    <row r="1937" spans="1:6" x14ac:dyDescent="0.25">
      <c r="A1937" s="6" t="s">
        <v>928</v>
      </c>
      <c r="B1937" s="11" t="s">
        <v>21</v>
      </c>
      <c r="D1937" s="4" t="s">
        <v>22</v>
      </c>
      <c r="E1937" s="5">
        <f>SUM(E1930:E1933)*B3803</f>
        <v>14328.6594</v>
      </c>
    </row>
    <row r="1938" spans="1:6" x14ac:dyDescent="0.25">
      <c r="A1938" s="6" t="s">
        <v>928</v>
      </c>
      <c r="B1938" s="6" t="s">
        <v>42</v>
      </c>
      <c r="D1938" s="4" t="s">
        <v>616</v>
      </c>
      <c r="E1938" s="5">
        <v>0</v>
      </c>
    </row>
    <row r="1939" spans="1:6" x14ac:dyDescent="0.25">
      <c r="A1939" s="6" t="s">
        <v>928</v>
      </c>
      <c r="B1939" s="11" t="s">
        <v>171</v>
      </c>
      <c r="D1939" s="4" t="s">
        <v>497</v>
      </c>
      <c r="E1939" s="5">
        <v>0</v>
      </c>
    </row>
    <row r="1940" spans="1:6" x14ac:dyDescent="0.25">
      <c r="A1940" s="6" t="s">
        <v>928</v>
      </c>
      <c r="B1940" s="11" t="s">
        <v>385</v>
      </c>
      <c r="D1940" s="4" t="s">
        <v>560</v>
      </c>
      <c r="E1940" s="5">
        <v>0</v>
      </c>
    </row>
    <row r="1941" spans="1:6" x14ac:dyDescent="0.25">
      <c r="A1941" s="6" t="s">
        <v>928</v>
      </c>
      <c r="B1941" s="11" t="s">
        <v>934</v>
      </c>
      <c r="D1941" s="4" t="s">
        <v>62</v>
      </c>
      <c r="E1941" s="5">
        <v>0</v>
      </c>
    </row>
    <row r="1942" spans="1:6" x14ac:dyDescent="0.25">
      <c r="A1942" s="6" t="s">
        <v>928</v>
      </c>
      <c r="B1942" s="11" t="s">
        <v>935</v>
      </c>
      <c r="D1942" s="4" t="s">
        <v>45</v>
      </c>
      <c r="E1942" s="5">
        <v>0</v>
      </c>
    </row>
    <row r="1943" spans="1:6" x14ac:dyDescent="0.25">
      <c r="A1943" s="6" t="s">
        <v>928</v>
      </c>
      <c r="B1943" s="11" t="s">
        <v>44</v>
      </c>
      <c r="D1943" s="4" t="s">
        <v>45</v>
      </c>
      <c r="E1943" s="15">
        <f>8580-8580</f>
        <v>0</v>
      </c>
    </row>
    <row r="1944" spans="1:6" x14ac:dyDescent="0.25">
      <c r="A1944" s="6" t="s">
        <v>928</v>
      </c>
      <c r="B1944" s="11" t="s">
        <v>276</v>
      </c>
      <c r="D1944" s="4" t="s">
        <v>277</v>
      </c>
      <c r="E1944" s="15">
        <f>25600+66000+17600-9200</f>
        <v>100000</v>
      </c>
      <c r="F1944" s="4" t="s">
        <v>936</v>
      </c>
    </row>
    <row r="1945" spans="1:6" x14ac:dyDescent="0.25">
      <c r="A1945" s="6" t="s">
        <v>928</v>
      </c>
      <c r="B1945" s="11" t="s">
        <v>937</v>
      </c>
      <c r="D1945" s="4" t="s">
        <v>335</v>
      </c>
      <c r="E1945" s="5">
        <v>0</v>
      </c>
      <c r="F1945" s="4" t="s">
        <v>938</v>
      </c>
    </row>
    <row r="1946" spans="1:6" x14ac:dyDescent="0.25">
      <c r="A1946" s="6" t="s">
        <v>928</v>
      </c>
      <c r="B1946" s="11" t="s">
        <v>46</v>
      </c>
      <c r="D1946" s="4" t="s">
        <v>939</v>
      </c>
      <c r="E1946" s="5">
        <f>697.95-697.95</f>
        <v>0</v>
      </c>
    </row>
    <row r="1947" spans="1:6" x14ac:dyDescent="0.25">
      <c r="A1947" s="6" t="s">
        <v>928</v>
      </c>
      <c r="B1947" s="6" t="s">
        <v>940</v>
      </c>
      <c r="D1947" s="4" t="s">
        <v>941</v>
      </c>
      <c r="E1947" s="5">
        <f>27754+1611.44</f>
        <v>29365.439999999999</v>
      </c>
    </row>
    <row r="1948" spans="1:6" x14ac:dyDescent="0.25">
      <c r="A1948" s="6" t="s">
        <v>928</v>
      </c>
      <c r="B1948" s="11" t="s">
        <v>72</v>
      </c>
      <c r="D1948" s="4" t="s">
        <v>111</v>
      </c>
      <c r="E1948" s="5">
        <v>2000</v>
      </c>
    </row>
    <row r="1949" spans="1:6" x14ac:dyDescent="0.25">
      <c r="A1949" s="6" t="s">
        <v>928</v>
      </c>
      <c r="B1949" s="11" t="s">
        <v>942</v>
      </c>
      <c r="D1949" s="4" t="s">
        <v>111</v>
      </c>
      <c r="E1949" s="5">
        <v>500</v>
      </c>
    </row>
    <row r="1950" spans="1:6" x14ac:dyDescent="0.25">
      <c r="A1950" s="6" t="s">
        <v>928</v>
      </c>
      <c r="B1950" s="11" t="s">
        <v>94</v>
      </c>
      <c r="D1950" s="4" t="s">
        <v>943</v>
      </c>
      <c r="E1950" s="5">
        <v>10000</v>
      </c>
    </row>
    <row r="1951" spans="1:6" x14ac:dyDescent="0.25">
      <c r="A1951" s="6" t="s">
        <v>928</v>
      </c>
      <c r="B1951" s="6" t="s">
        <v>337</v>
      </c>
      <c r="D1951" s="4" t="s">
        <v>659</v>
      </c>
      <c r="E1951" s="5">
        <v>0</v>
      </c>
    </row>
    <row r="1952" spans="1:6" x14ac:dyDescent="0.25">
      <c r="A1952" s="6" t="s">
        <v>928</v>
      </c>
      <c r="B1952" s="11" t="s">
        <v>944</v>
      </c>
      <c r="D1952" s="4" t="s">
        <v>659</v>
      </c>
      <c r="E1952" s="5">
        <v>1000</v>
      </c>
    </row>
    <row r="1953" spans="1:6" x14ac:dyDescent="0.25">
      <c r="A1953" s="6" t="s">
        <v>928</v>
      </c>
      <c r="B1953" s="11" t="s">
        <v>112</v>
      </c>
      <c r="D1953" s="4" t="s">
        <v>297</v>
      </c>
      <c r="E1953" s="5">
        <v>0</v>
      </c>
    </row>
    <row r="1954" spans="1:6" x14ac:dyDescent="0.25">
      <c r="A1954" s="6" t="s">
        <v>928</v>
      </c>
      <c r="B1954" s="11" t="s">
        <v>945</v>
      </c>
      <c r="D1954" s="4" t="s">
        <v>230</v>
      </c>
      <c r="E1954" s="5">
        <v>500</v>
      </c>
    </row>
    <row r="1955" spans="1:6" x14ac:dyDescent="0.25">
      <c r="A1955" s="6" t="s">
        <v>928</v>
      </c>
      <c r="B1955" s="11" t="s">
        <v>78</v>
      </c>
      <c r="D1955" s="4" t="s">
        <v>230</v>
      </c>
      <c r="E1955" s="5">
        <f>173365-173365</f>
        <v>0</v>
      </c>
    </row>
    <row r="1956" spans="1:6" x14ac:dyDescent="0.25">
      <c r="A1956" s="6" t="s">
        <v>928</v>
      </c>
      <c r="B1956" s="11" t="s">
        <v>78</v>
      </c>
      <c r="D1956" s="4" t="s">
        <v>230</v>
      </c>
      <c r="E1956" s="5">
        <f>35000-5000-30000</f>
        <v>0</v>
      </c>
    </row>
    <row r="1957" spans="1:6" x14ac:dyDescent="0.25">
      <c r="A1957" s="6" t="s">
        <v>928</v>
      </c>
      <c r="B1957" s="11" t="s">
        <v>946</v>
      </c>
      <c r="D1957" s="4" t="s">
        <v>947</v>
      </c>
      <c r="E1957" s="5">
        <v>0</v>
      </c>
      <c r="F1957" s="4" t="s">
        <v>948</v>
      </c>
    </row>
    <row r="1958" spans="1:6" x14ac:dyDescent="0.25">
      <c r="A1958" s="6" t="s">
        <v>928</v>
      </c>
      <c r="B1958" s="11" t="s">
        <v>949</v>
      </c>
      <c r="D1958" s="4" t="s">
        <v>950</v>
      </c>
      <c r="E1958" s="5">
        <v>500</v>
      </c>
    </row>
    <row r="1959" spans="1:6" x14ac:dyDescent="0.25">
      <c r="A1959" s="6" t="s">
        <v>928</v>
      </c>
      <c r="B1959" s="11" t="s">
        <v>298</v>
      </c>
      <c r="D1959" s="4" t="s">
        <v>299</v>
      </c>
      <c r="E1959" s="5">
        <f>4770-4770</f>
        <v>0</v>
      </c>
    </row>
    <row r="1960" spans="1:6" x14ac:dyDescent="0.25">
      <c r="A1960" s="6" t="s">
        <v>928</v>
      </c>
      <c r="B1960" s="6" t="s">
        <v>98</v>
      </c>
      <c r="D1960" s="4" t="s">
        <v>951</v>
      </c>
      <c r="E1960" s="5">
        <v>8000</v>
      </c>
    </row>
    <row r="1961" spans="1:6" x14ac:dyDescent="0.25">
      <c r="A1961" s="6" t="s">
        <v>928</v>
      </c>
      <c r="B1961" s="11" t="s">
        <v>27</v>
      </c>
      <c r="D1961" s="4" t="s">
        <v>28</v>
      </c>
      <c r="E1961" s="5">
        <v>1000</v>
      </c>
    </row>
    <row r="1962" spans="1:6" x14ac:dyDescent="0.25">
      <c r="A1962" s="6" t="s">
        <v>928</v>
      </c>
      <c r="B1962" s="11" t="s">
        <v>952</v>
      </c>
      <c r="D1962" s="4" t="s">
        <v>111</v>
      </c>
      <c r="E1962" s="5">
        <v>0</v>
      </c>
    </row>
    <row r="1963" spans="1:6" x14ac:dyDescent="0.25">
      <c r="A1963" s="6" t="s">
        <v>928</v>
      </c>
      <c r="B1963" s="11" t="s">
        <v>953</v>
      </c>
      <c r="D1963" s="4" t="s">
        <v>93</v>
      </c>
      <c r="E1963" s="5">
        <v>0</v>
      </c>
    </row>
    <row r="1964" spans="1:6" x14ac:dyDescent="0.25">
      <c r="A1964" s="6" t="s">
        <v>928</v>
      </c>
      <c r="B1964" s="11" t="s">
        <v>954</v>
      </c>
      <c r="D1964" s="4" t="s">
        <v>230</v>
      </c>
      <c r="E1964" s="5">
        <v>0</v>
      </c>
    </row>
    <row r="1965" spans="1:6" x14ac:dyDescent="0.25">
      <c r="A1965" s="6"/>
      <c r="B1965" s="11"/>
    </row>
    <row r="1967" spans="1:6" x14ac:dyDescent="0.25">
      <c r="A1967" s="6" t="s">
        <v>955</v>
      </c>
      <c r="B1967" s="6" t="s">
        <v>4</v>
      </c>
      <c r="C1967" s="6" t="s">
        <v>4</v>
      </c>
      <c r="D1967" s="4" t="s">
        <v>4</v>
      </c>
      <c r="E1967" s="5">
        <f>SUM(E1924:E1964)</f>
        <v>652163.12349499995</v>
      </c>
    </row>
    <row r="1969" spans="1:6" x14ac:dyDescent="0.25">
      <c r="A1969" s="6" t="s">
        <v>956</v>
      </c>
    </row>
    <row r="1970" spans="1:6" x14ac:dyDescent="0.25">
      <c r="A1970" s="6" t="s">
        <v>12</v>
      </c>
    </row>
    <row r="1971" spans="1:6" x14ac:dyDescent="0.25">
      <c r="A1971" s="6" t="s">
        <v>957</v>
      </c>
      <c r="B1971" s="11" t="s">
        <v>25</v>
      </c>
      <c r="D1971" s="4" t="s">
        <v>58</v>
      </c>
      <c r="E1971" s="5">
        <f>350-350</f>
        <v>0</v>
      </c>
    </row>
    <row r="1972" spans="1:6" x14ac:dyDescent="0.25">
      <c r="A1972" s="6" t="s">
        <v>957</v>
      </c>
      <c r="B1972" s="11" t="s">
        <v>17</v>
      </c>
      <c r="D1972" s="4" t="s">
        <v>18</v>
      </c>
      <c r="E1972" s="5">
        <f>E1971*B3801</f>
        <v>0</v>
      </c>
    </row>
    <row r="1973" spans="1:6" x14ac:dyDescent="0.25">
      <c r="A1973" s="6" t="s">
        <v>957</v>
      </c>
      <c r="B1973" s="6" t="s">
        <v>19</v>
      </c>
      <c r="D1973" s="4" t="s">
        <v>20</v>
      </c>
      <c r="E1973" s="5">
        <f>E1971*B3798</f>
        <v>0</v>
      </c>
    </row>
    <row r="1974" spans="1:6" x14ac:dyDescent="0.25">
      <c r="A1974" s="6" t="s">
        <v>957</v>
      </c>
      <c r="B1974" s="11" t="s">
        <v>40</v>
      </c>
      <c r="D1974" s="4" t="s">
        <v>22</v>
      </c>
      <c r="E1974" s="5">
        <f>E1971*B3803</f>
        <v>0</v>
      </c>
    </row>
    <row r="1975" spans="1:6" x14ac:dyDescent="0.25">
      <c r="A1975" s="6" t="s">
        <v>957</v>
      </c>
      <c r="B1975" s="11" t="s">
        <v>44</v>
      </c>
      <c r="D1975" s="4" t="s">
        <v>45</v>
      </c>
      <c r="E1975" s="5">
        <f>3250-3250</f>
        <v>0</v>
      </c>
      <c r="F1975" s="4" t="s">
        <v>958</v>
      </c>
    </row>
    <row r="1976" spans="1:6" x14ac:dyDescent="0.25">
      <c r="A1976" s="6" t="s">
        <v>957</v>
      </c>
      <c r="B1976" s="6" t="s">
        <v>46</v>
      </c>
      <c r="D1976" s="4" t="s">
        <v>47</v>
      </c>
      <c r="E1976" s="5">
        <f>1000-500</f>
        <v>500</v>
      </c>
    </row>
    <row r="1978" spans="1:6" x14ac:dyDescent="0.25">
      <c r="A1978" s="6" t="s">
        <v>959</v>
      </c>
      <c r="B1978" s="6" t="s">
        <v>4</v>
      </c>
      <c r="C1978" s="6" t="s">
        <v>4</v>
      </c>
      <c r="D1978" s="4" t="s">
        <v>4</v>
      </c>
      <c r="E1978" s="5">
        <f>SUM(E1971:E1976)</f>
        <v>500</v>
      </c>
    </row>
    <row r="1980" spans="1:6" x14ac:dyDescent="0.25">
      <c r="A1980" s="6" t="s">
        <v>960</v>
      </c>
    </row>
    <row r="1981" spans="1:6" x14ac:dyDescent="0.25">
      <c r="A1981" s="6" t="s">
        <v>12</v>
      </c>
    </row>
    <row r="1982" spans="1:6" x14ac:dyDescent="0.25">
      <c r="A1982" s="6" t="s">
        <v>961</v>
      </c>
      <c r="B1982" s="6" t="s">
        <v>32</v>
      </c>
      <c r="D1982" s="4" t="s">
        <v>33</v>
      </c>
      <c r="E1982" s="5">
        <f>92250+4200+18325-36225+8250+11200-10000+8800</f>
        <v>96800</v>
      </c>
    </row>
    <row r="1983" spans="1:6" x14ac:dyDescent="0.25">
      <c r="A1983" s="6" t="s">
        <v>961</v>
      </c>
      <c r="B1983" s="11" t="s">
        <v>34</v>
      </c>
      <c r="D1983" s="4" t="s">
        <v>57</v>
      </c>
      <c r="E1983" s="5">
        <f>50400-8800</f>
        <v>41600</v>
      </c>
    </row>
    <row r="1984" spans="1:6" x14ac:dyDescent="0.25">
      <c r="A1984" s="6" t="s">
        <v>961</v>
      </c>
      <c r="B1984" s="11" t="s">
        <v>36</v>
      </c>
      <c r="D1984" s="4" t="s">
        <v>727</v>
      </c>
      <c r="E1984" s="5">
        <f>1200+5000</f>
        <v>6200</v>
      </c>
    </row>
    <row r="1985" spans="1:6" x14ac:dyDescent="0.25">
      <c r="A1985" s="6" t="s">
        <v>961</v>
      </c>
      <c r="B1985" s="11" t="s">
        <v>38</v>
      </c>
      <c r="D1985" s="4" t="s">
        <v>39</v>
      </c>
      <c r="E1985" s="5">
        <f>50875+4000+13500+450-20000-32000+3175</f>
        <v>20000</v>
      </c>
    </row>
    <row r="1986" spans="1:6" x14ac:dyDescent="0.25">
      <c r="A1986" s="6" t="s">
        <v>961</v>
      </c>
      <c r="B1986" s="6" t="s">
        <v>25</v>
      </c>
      <c r="D1986" s="4" t="s">
        <v>58</v>
      </c>
      <c r="E1986" s="5">
        <f>64300+3700+9300+7900-11200-10000+32000</f>
        <v>96000</v>
      </c>
    </row>
    <row r="1987" spans="1:6" x14ac:dyDescent="0.25">
      <c r="A1987" s="6" t="s">
        <v>961</v>
      </c>
      <c r="B1987" s="6" t="s">
        <v>17</v>
      </c>
      <c r="D1987" s="4" t="s">
        <v>18</v>
      </c>
      <c r="E1987" s="5">
        <f>SUM(E1984:E1986)*B3801</f>
        <v>7576.4</v>
      </c>
    </row>
    <row r="1988" spans="1:6" x14ac:dyDescent="0.25">
      <c r="A1988" s="6" t="s">
        <v>961</v>
      </c>
      <c r="B1988" s="6" t="s">
        <v>19</v>
      </c>
      <c r="D1988" s="4" t="s">
        <v>20</v>
      </c>
      <c r="E1988" s="5">
        <f>SUM(E1982:E1986)*B3802</f>
        <v>3778.7000000000003</v>
      </c>
    </row>
    <row r="1989" spans="1:6" x14ac:dyDescent="0.25">
      <c r="A1989" s="6" t="s">
        <v>961</v>
      </c>
      <c r="B1989" s="6" t="s">
        <v>40</v>
      </c>
      <c r="D1989" s="4" t="s">
        <v>60</v>
      </c>
      <c r="E1989" s="5">
        <f>(E1982+E1983)*B3799</f>
        <v>4152</v>
      </c>
    </row>
    <row r="1990" spans="1:6" x14ac:dyDescent="0.25">
      <c r="A1990" s="6" t="s">
        <v>961</v>
      </c>
      <c r="B1990" s="6" t="s">
        <v>21</v>
      </c>
      <c r="D1990" s="4" t="s">
        <v>22</v>
      </c>
      <c r="E1990" s="5">
        <f>SUM(E1984:E1986)*B3803</f>
        <v>28521.48</v>
      </c>
    </row>
    <row r="1991" spans="1:6" x14ac:dyDescent="0.25">
      <c r="A1991" s="6" t="s">
        <v>961</v>
      </c>
      <c r="B1991" s="11" t="s">
        <v>78</v>
      </c>
      <c r="D1991" s="4" t="s">
        <v>230</v>
      </c>
      <c r="E1991" s="5">
        <v>8689.34</v>
      </c>
    </row>
    <row r="1992" spans="1:6" x14ac:dyDescent="0.25">
      <c r="A1992" s="6" t="s">
        <v>961</v>
      </c>
      <c r="B1992" s="11" t="s">
        <v>962</v>
      </c>
      <c r="D1992" s="4" t="s">
        <v>963</v>
      </c>
      <c r="E1992" s="5">
        <v>30000</v>
      </c>
    </row>
    <row r="1993" spans="1:6" x14ac:dyDescent="0.25">
      <c r="A1993" s="6" t="s">
        <v>961</v>
      </c>
      <c r="B1993" s="11" t="s">
        <v>962</v>
      </c>
      <c r="C1993" s="6"/>
      <c r="D1993" s="4" t="s">
        <v>964</v>
      </c>
      <c r="E1993" s="5">
        <f>210825-7900</f>
        <v>202925</v>
      </c>
      <c r="F1993" s="4" t="s">
        <v>965</v>
      </c>
    </row>
    <row r="1994" spans="1:6" hidden="1" x14ac:dyDescent="0.25">
      <c r="A1994" s="6" t="s">
        <v>961</v>
      </c>
      <c r="B1994" s="6" t="s">
        <v>61</v>
      </c>
      <c r="C1994" s="6" t="s">
        <v>966</v>
      </c>
      <c r="D1994" s="4" t="s">
        <v>967</v>
      </c>
      <c r="F1994" s="6"/>
    </row>
    <row r="1995" spans="1:6" hidden="1" x14ac:dyDescent="0.25">
      <c r="A1995" s="6" t="s">
        <v>961</v>
      </c>
      <c r="B1995" s="6" t="s">
        <v>61</v>
      </c>
      <c r="C1995" s="6" t="s">
        <v>968</v>
      </c>
      <c r="D1995" s="4" t="s">
        <v>969</v>
      </c>
      <c r="F1995" s="6"/>
    </row>
    <row r="1996" spans="1:6" hidden="1" x14ac:dyDescent="0.25">
      <c r="A1996" s="6" t="s">
        <v>961</v>
      </c>
      <c r="B1996" s="6" t="s">
        <v>61</v>
      </c>
      <c r="C1996" s="6" t="s">
        <v>970</v>
      </c>
      <c r="D1996" s="4" t="s">
        <v>969</v>
      </c>
    </row>
    <row r="1997" spans="1:6" hidden="1" x14ac:dyDescent="0.25">
      <c r="A1997" s="6" t="s">
        <v>961</v>
      </c>
      <c r="B1997" s="6" t="s">
        <v>61</v>
      </c>
      <c r="C1997" s="6" t="s">
        <v>971</v>
      </c>
      <c r="D1997" s="4" t="s">
        <v>969</v>
      </c>
    </row>
    <row r="1998" spans="1:6" hidden="1" x14ac:dyDescent="0.25">
      <c r="A1998" s="6" t="s">
        <v>961</v>
      </c>
      <c r="B1998" s="6" t="s">
        <v>61</v>
      </c>
      <c r="C1998" s="6" t="s">
        <v>972</v>
      </c>
      <c r="D1998" s="4" t="s">
        <v>969</v>
      </c>
    </row>
    <row r="1999" spans="1:6" hidden="1" x14ac:dyDescent="0.25">
      <c r="A1999" s="6" t="s">
        <v>961</v>
      </c>
      <c r="B1999" s="6" t="s">
        <v>61</v>
      </c>
      <c r="C1999" s="6" t="s">
        <v>973</v>
      </c>
      <c r="D1999" s="4" t="s">
        <v>969</v>
      </c>
    </row>
    <row r="2000" spans="1:6" hidden="1" x14ac:dyDescent="0.25">
      <c r="A2000" s="6" t="s">
        <v>961</v>
      </c>
      <c r="B2000" s="6" t="s">
        <v>61</v>
      </c>
      <c r="C2000" s="6" t="s">
        <v>974</v>
      </c>
      <c r="D2000" s="4" t="s">
        <v>969</v>
      </c>
      <c r="E2000" s="4"/>
    </row>
    <row r="2001" spans="1:5" hidden="1" x14ac:dyDescent="0.25">
      <c r="A2001" s="6" t="s">
        <v>961</v>
      </c>
      <c r="B2001" s="6" t="s">
        <v>61</v>
      </c>
      <c r="C2001" s="6" t="s">
        <v>975</v>
      </c>
      <c r="D2001" s="4" t="s">
        <v>969</v>
      </c>
      <c r="E2001" s="4"/>
    </row>
    <row r="2002" spans="1:5" hidden="1" x14ac:dyDescent="0.25">
      <c r="A2002" s="6" t="s">
        <v>961</v>
      </c>
      <c r="B2002" s="6" t="s">
        <v>61</v>
      </c>
      <c r="C2002" s="6" t="s">
        <v>976</v>
      </c>
      <c r="D2002" s="4" t="s">
        <v>969</v>
      </c>
      <c r="E2002" s="4"/>
    </row>
    <row r="2003" spans="1:5" hidden="1" x14ac:dyDescent="0.25">
      <c r="A2003" s="6" t="s">
        <v>961</v>
      </c>
      <c r="B2003" s="6" t="s">
        <v>61</v>
      </c>
      <c r="C2003" s="6" t="s">
        <v>977</v>
      </c>
      <c r="D2003" s="4" t="s">
        <v>967</v>
      </c>
      <c r="E2003" s="4"/>
    </row>
    <row r="2004" spans="1:5" hidden="1" x14ac:dyDescent="0.25">
      <c r="A2004" s="6" t="s">
        <v>961</v>
      </c>
      <c r="B2004" s="6" t="s">
        <v>61</v>
      </c>
      <c r="C2004" s="6" t="s">
        <v>978</v>
      </c>
      <c r="D2004" s="4" t="s">
        <v>969</v>
      </c>
      <c r="E2004" s="4"/>
    </row>
    <row r="2005" spans="1:5" hidden="1" x14ac:dyDescent="0.25">
      <c r="A2005" s="6" t="s">
        <v>961</v>
      </c>
      <c r="B2005" s="6" t="s">
        <v>61</v>
      </c>
      <c r="C2005" s="6" t="s">
        <v>979</v>
      </c>
      <c r="D2005" s="4" t="s">
        <v>969</v>
      </c>
      <c r="E2005" s="4"/>
    </row>
    <row r="2006" spans="1:5" hidden="1" x14ac:dyDescent="0.25">
      <c r="A2006" s="6" t="s">
        <v>961</v>
      </c>
      <c r="B2006" s="6" t="s">
        <v>61</v>
      </c>
      <c r="C2006" s="6" t="s">
        <v>980</v>
      </c>
      <c r="D2006" s="4" t="s">
        <v>969</v>
      </c>
      <c r="E2006" s="4"/>
    </row>
    <row r="2007" spans="1:5" hidden="1" x14ac:dyDescent="0.25">
      <c r="A2007" s="6" t="s">
        <v>961</v>
      </c>
      <c r="B2007" s="6" t="s">
        <v>61</v>
      </c>
      <c r="C2007" s="6" t="s">
        <v>981</v>
      </c>
      <c r="D2007" s="4" t="s">
        <v>969</v>
      </c>
      <c r="E2007" s="4"/>
    </row>
    <row r="2008" spans="1:5" hidden="1" x14ac:dyDescent="0.25">
      <c r="A2008" s="6" t="s">
        <v>961</v>
      </c>
      <c r="B2008" s="6" t="s">
        <v>159</v>
      </c>
      <c r="C2008" s="6" t="s">
        <v>968</v>
      </c>
      <c r="D2008" s="4" t="s">
        <v>982</v>
      </c>
      <c r="E2008" s="4"/>
    </row>
    <row r="2009" spans="1:5" hidden="1" x14ac:dyDescent="0.25">
      <c r="A2009" s="6" t="s">
        <v>961</v>
      </c>
      <c r="B2009" s="6" t="s">
        <v>159</v>
      </c>
      <c r="C2009" s="6" t="s">
        <v>970</v>
      </c>
      <c r="D2009" s="4" t="s">
        <v>982</v>
      </c>
      <c r="E2009" s="4"/>
    </row>
    <row r="2010" spans="1:5" hidden="1" x14ac:dyDescent="0.25">
      <c r="A2010" s="6" t="s">
        <v>961</v>
      </c>
      <c r="B2010" s="6" t="s">
        <v>159</v>
      </c>
      <c r="C2010" s="6" t="s">
        <v>983</v>
      </c>
      <c r="D2010" s="4" t="s">
        <v>984</v>
      </c>
      <c r="E2010" s="4"/>
    </row>
    <row r="2011" spans="1:5" hidden="1" x14ac:dyDescent="0.25">
      <c r="A2011" s="6" t="s">
        <v>961</v>
      </c>
      <c r="B2011" s="6" t="s">
        <v>159</v>
      </c>
      <c r="C2011" s="6" t="s">
        <v>978</v>
      </c>
      <c r="D2011" s="4" t="s">
        <v>982</v>
      </c>
      <c r="E2011" s="4"/>
    </row>
    <row r="2012" spans="1:5" hidden="1" x14ac:dyDescent="0.25">
      <c r="A2012" s="6" t="s">
        <v>961</v>
      </c>
      <c r="B2012" s="6" t="s">
        <v>44</v>
      </c>
      <c r="C2012" s="6" t="s">
        <v>985</v>
      </c>
      <c r="D2012" s="4" t="s">
        <v>986</v>
      </c>
      <c r="E2012" s="4"/>
    </row>
    <row r="2013" spans="1:5" hidden="1" x14ac:dyDescent="0.25">
      <c r="A2013" s="6" t="s">
        <v>961</v>
      </c>
      <c r="B2013" s="6" t="s">
        <v>44</v>
      </c>
      <c r="C2013" s="6" t="s">
        <v>966</v>
      </c>
      <c r="D2013" s="4" t="s">
        <v>986</v>
      </c>
      <c r="E2013" s="4"/>
    </row>
    <row r="2014" spans="1:5" hidden="1" x14ac:dyDescent="0.25">
      <c r="A2014" s="6" t="s">
        <v>961</v>
      </c>
      <c r="B2014" s="6" t="s">
        <v>44</v>
      </c>
      <c r="C2014" s="6" t="s">
        <v>968</v>
      </c>
      <c r="D2014" s="4" t="s">
        <v>987</v>
      </c>
      <c r="E2014" s="4"/>
    </row>
    <row r="2015" spans="1:5" hidden="1" x14ac:dyDescent="0.25">
      <c r="A2015" s="6" t="s">
        <v>961</v>
      </c>
      <c r="B2015" s="6" t="s">
        <v>44</v>
      </c>
      <c r="C2015" s="6" t="s">
        <v>970</v>
      </c>
      <c r="D2015" s="4" t="s">
        <v>987</v>
      </c>
      <c r="E2015" s="4"/>
    </row>
    <row r="2016" spans="1:5" hidden="1" x14ac:dyDescent="0.25">
      <c r="A2016" s="6" t="s">
        <v>961</v>
      </c>
      <c r="B2016" s="6" t="s">
        <v>44</v>
      </c>
      <c r="C2016" s="6" t="s">
        <v>983</v>
      </c>
      <c r="D2016" s="4" t="s">
        <v>986</v>
      </c>
      <c r="E2016" s="4"/>
    </row>
    <row r="2017" spans="1:5" hidden="1" x14ac:dyDescent="0.25">
      <c r="A2017" s="6" t="s">
        <v>961</v>
      </c>
      <c r="B2017" s="6" t="s">
        <v>44</v>
      </c>
      <c r="C2017" s="6" t="s">
        <v>974</v>
      </c>
      <c r="D2017" s="4" t="s">
        <v>987</v>
      </c>
      <c r="E2017" s="4"/>
    </row>
    <row r="2018" spans="1:5" hidden="1" x14ac:dyDescent="0.25">
      <c r="A2018" s="6" t="s">
        <v>961</v>
      </c>
      <c r="B2018" s="6" t="s">
        <v>44</v>
      </c>
      <c r="C2018" s="6" t="s">
        <v>975</v>
      </c>
      <c r="D2018" s="4" t="s">
        <v>987</v>
      </c>
      <c r="E2018" s="4"/>
    </row>
    <row r="2019" spans="1:5" hidden="1" x14ac:dyDescent="0.25">
      <c r="A2019" s="6" t="s">
        <v>961</v>
      </c>
      <c r="B2019" s="6" t="s">
        <v>44</v>
      </c>
      <c r="C2019" s="6" t="s">
        <v>978</v>
      </c>
      <c r="D2019" s="4" t="s">
        <v>987</v>
      </c>
      <c r="E2019" s="4"/>
    </row>
    <row r="2020" spans="1:5" hidden="1" x14ac:dyDescent="0.25">
      <c r="A2020" s="6" t="s">
        <v>961</v>
      </c>
      <c r="B2020" s="6" t="s">
        <v>44</v>
      </c>
      <c r="C2020" s="6" t="s">
        <v>980</v>
      </c>
      <c r="D2020" s="4" t="s">
        <v>987</v>
      </c>
      <c r="E2020" s="4"/>
    </row>
    <row r="2021" spans="1:5" hidden="1" x14ac:dyDescent="0.25">
      <c r="A2021" s="6" t="s">
        <v>961</v>
      </c>
      <c r="B2021" s="6" t="s">
        <v>44</v>
      </c>
      <c r="C2021" s="6" t="s">
        <v>981</v>
      </c>
      <c r="D2021" s="4" t="s">
        <v>987</v>
      </c>
      <c r="E2021" s="4"/>
    </row>
    <row r="2022" spans="1:5" hidden="1" x14ac:dyDescent="0.25">
      <c r="A2022" s="6" t="s">
        <v>961</v>
      </c>
      <c r="B2022" s="6" t="s">
        <v>66</v>
      </c>
      <c r="C2022" s="6" t="s">
        <v>985</v>
      </c>
      <c r="D2022" s="4" t="s">
        <v>988</v>
      </c>
      <c r="E2022" s="4"/>
    </row>
    <row r="2023" spans="1:5" hidden="1" x14ac:dyDescent="0.25">
      <c r="A2023" s="6" t="s">
        <v>961</v>
      </c>
      <c r="B2023" s="6" t="s">
        <v>989</v>
      </c>
      <c r="C2023" s="6" t="s">
        <v>985</v>
      </c>
      <c r="D2023" s="4" t="s">
        <v>990</v>
      </c>
      <c r="E2023" s="4"/>
    </row>
    <row r="2024" spans="1:5" hidden="1" x14ac:dyDescent="0.25">
      <c r="A2024" s="6" t="s">
        <v>961</v>
      </c>
      <c r="B2024" s="6" t="s">
        <v>70</v>
      </c>
      <c r="C2024" s="6" t="s">
        <v>985</v>
      </c>
      <c r="D2024" s="4" t="s">
        <v>991</v>
      </c>
      <c r="E2024" s="4"/>
    </row>
    <row r="2025" spans="1:5" hidden="1" x14ac:dyDescent="0.25">
      <c r="A2025" s="6" t="s">
        <v>961</v>
      </c>
      <c r="B2025" s="6" t="s">
        <v>70</v>
      </c>
      <c r="C2025" s="6" t="s">
        <v>966</v>
      </c>
      <c r="D2025" s="4" t="s">
        <v>991</v>
      </c>
      <c r="E2025" s="4"/>
    </row>
    <row r="2026" spans="1:5" hidden="1" x14ac:dyDescent="0.25">
      <c r="A2026" s="6" t="s">
        <v>961</v>
      </c>
      <c r="B2026" s="6" t="s">
        <v>70</v>
      </c>
      <c r="C2026" s="6" t="s">
        <v>968</v>
      </c>
      <c r="D2026" s="4" t="s">
        <v>992</v>
      </c>
      <c r="E2026" s="4"/>
    </row>
    <row r="2027" spans="1:5" hidden="1" x14ac:dyDescent="0.25">
      <c r="A2027" s="6" t="s">
        <v>961</v>
      </c>
      <c r="B2027" s="6" t="s">
        <v>70</v>
      </c>
      <c r="C2027" s="6" t="s">
        <v>970</v>
      </c>
      <c r="D2027" s="4" t="s">
        <v>992</v>
      </c>
      <c r="E2027" s="4"/>
    </row>
    <row r="2028" spans="1:5" hidden="1" x14ac:dyDescent="0.25">
      <c r="A2028" s="6" t="s">
        <v>961</v>
      </c>
      <c r="B2028" s="6" t="s">
        <v>70</v>
      </c>
      <c r="C2028" s="6" t="s">
        <v>971</v>
      </c>
      <c r="D2028" s="4" t="s">
        <v>992</v>
      </c>
      <c r="E2028" s="4"/>
    </row>
    <row r="2029" spans="1:5" hidden="1" x14ac:dyDescent="0.25">
      <c r="A2029" s="6" t="s">
        <v>961</v>
      </c>
      <c r="B2029" s="6" t="s">
        <v>70</v>
      </c>
      <c r="C2029" s="6" t="s">
        <v>972</v>
      </c>
      <c r="D2029" s="4" t="s">
        <v>992</v>
      </c>
      <c r="E2029" s="4"/>
    </row>
    <row r="2030" spans="1:5" hidden="1" x14ac:dyDescent="0.25">
      <c r="A2030" s="6" t="s">
        <v>961</v>
      </c>
      <c r="B2030" s="6" t="s">
        <v>70</v>
      </c>
      <c r="C2030" s="6" t="s">
        <v>973</v>
      </c>
      <c r="D2030" s="4" t="s">
        <v>992</v>
      </c>
      <c r="E2030" s="4"/>
    </row>
    <row r="2031" spans="1:5" hidden="1" x14ac:dyDescent="0.25">
      <c r="A2031" s="6" t="s">
        <v>961</v>
      </c>
      <c r="B2031" s="6" t="s">
        <v>70</v>
      </c>
      <c r="C2031" s="6" t="s">
        <v>983</v>
      </c>
      <c r="D2031" s="4" t="s">
        <v>991</v>
      </c>
      <c r="E2031" s="4"/>
    </row>
    <row r="2032" spans="1:5" hidden="1" x14ac:dyDescent="0.25">
      <c r="A2032" s="6" t="s">
        <v>961</v>
      </c>
      <c r="B2032" s="6" t="s">
        <v>70</v>
      </c>
      <c r="C2032" s="6" t="s">
        <v>974</v>
      </c>
      <c r="D2032" s="4" t="s">
        <v>992</v>
      </c>
    </row>
    <row r="2033" spans="1:6" hidden="1" x14ac:dyDescent="0.25">
      <c r="A2033" s="6" t="s">
        <v>961</v>
      </c>
      <c r="B2033" s="6" t="s">
        <v>70</v>
      </c>
      <c r="C2033" s="6" t="s">
        <v>975</v>
      </c>
      <c r="D2033" s="4" t="s">
        <v>992</v>
      </c>
    </row>
    <row r="2034" spans="1:6" hidden="1" x14ac:dyDescent="0.25">
      <c r="A2034" s="6" t="s">
        <v>961</v>
      </c>
      <c r="B2034" s="6" t="s">
        <v>70</v>
      </c>
      <c r="C2034" s="6" t="s">
        <v>976</v>
      </c>
      <c r="D2034" s="4" t="s">
        <v>992</v>
      </c>
    </row>
    <row r="2035" spans="1:6" hidden="1" x14ac:dyDescent="0.25">
      <c r="A2035" s="6" t="s">
        <v>961</v>
      </c>
      <c r="B2035" s="6" t="s">
        <v>70</v>
      </c>
      <c r="C2035" s="6" t="s">
        <v>977</v>
      </c>
      <c r="D2035" s="4" t="s">
        <v>991</v>
      </c>
      <c r="F2035" s="4" t="s">
        <v>4</v>
      </c>
    </row>
    <row r="2036" spans="1:6" hidden="1" x14ac:dyDescent="0.25">
      <c r="A2036" s="6" t="s">
        <v>961</v>
      </c>
      <c r="B2036" s="6" t="s">
        <v>70</v>
      </c>
      <c r="C2036" s="6" t="s">
        <v>993</v>
      </c>
      <c r="D2036" s="4" t="s">
        <v>992</v>
      </c>
      <c r="F2036" s="4" t="s">
        <v>4</v>
      </c>
    </row>
    <row r="2037" spans="1:6" hidden="1" x14ac:dyDescent="0.25">
      <c r="A2037" s="6" t="s">
        <v>961</v>
      </c>
      <c r="B2037" s="6" t="s">
        <v>70</v>
      </c>
      <c r="C2037" s="6" t="s">
        <v>979</v>
      </c>
      <c r="D2037" s="4" t="s">
        <v>992</v>
      </c>
    </row>
    <row r="2038" spans="1:6" hidden="1" x14ac:dyDescent="0.25">
      <c r="A2038" s="6" t="s">
        <v>961</v>
      </c>
      <c r="B2038" s="6" t="s">
        <v>70</v>
      </c>
      <c r="C2038" s="6" t="s">
        <v>980</v>
      </c>
      <c r="D2038" s="4" t="s">
        <v>992</v>
      </c>
      <c r="F2038" s="4" t="s">
        <v>4</v>
      </c>
    </row>
    <row r="2039" spans="1:6" hidden="1" x14ac:dyDescent="0.25">
      <c r="A2039" s="6" t="s">
        <v>961</v>
      </c>
      <c r="B2039" s="6" t="s">
        <v>70</v>
      </c>
      <c r="C2039" s="6" t="s">
        <v>981</v>
      </c>
      <c r="D2039" s="4" t="s">
        <v>992</v>
      </c>
    </row>
    <row r="2040" spans="1:6" hidden="1" x14ac:dyDescent="0.25">
      <c r="A2040" s="6" t="s">
        <v>961</v>
      </c>
      <c r="B2040" s="6" t="s">
        <v>46</v>
      </c>
      <c r="D2040" s="4" t="s">
        <v>47</v>
      </c>
    </row>
    <row r="2041" spans="1:6" hidden="1" x14ac:dyDescent="0.25">
      <c r="A2041" s="6" t="s">
        <v>961</v>
      </c>
      <c r="B2041" s="6" t="s">
        <v>46</v>
      </c>
      <c r="C2041" s="6" t="s">
        <v>985</v>
      </c>
      <c r="D2041" s="4" t="s">
        <v>994</v>
      </c>
    </row>
    <row r="2042" spans="1:6" hidden="1" x14ac:dyDescent="0.25">
      <c r="A2042" s="6" t="s">
        <v>961</v>
      </c>
      <c r="B2042" s="6" t="s">
        <v>46</v>
      </c>
      <c r="C2042" s="6" t="s">
        <v>995</v>
      </c>
      <c r="D2042" s="4" t="s">
        <v>994</v>
      </c>
    </row>
    <row r="2043" spans="1:6" hidden="1" x14ac:dyDescent="0.25">
      <c r="A2043" s="6" t="s">
        <v>961</v>
      </c>
      <c r="B2043" s="6" t="s">
        <v>46</v>
      </c>
      <c r="C2043" s="6" t="s">
        <v>968</v>
      </c>
      <c r="D2043" s="4" t="s">
        <v>996</v>
      </c>
    </row>
    <row r="2044" spans="1:6" hidden="1" x14ac:dyDescent="0.25">
      <c r="A2044" s="6" t="s">
        <v>961</v>
      </c>
      <c r="B2044" s="6" t="s">
        <v>46</v>
      </c>
      <c r="C2044" s="6" t="s">
        <v>970</v>
      </c>
      <c r="D2044" s="4" t="s">
        <v>996</v>
      </c>
      <c r="F2044" s="4" t="s">
        <v>4</v>
      </c>
    </row>
    <row r="2045" spans="1:6" hidden="1" x14ac:dyDescent="0.25">
      <c r="A2045" s="6" t="s">
        <v>961</v>
      </c>
      <c r="B2045" s="6" t="s">
        <v>46</v>
      </c>
      <c r="C2045" s="6" t="s">
        <v>983</v>
      </c>
      <c r="D2045" s="4" t="s">
        <v>994</v>
      </c>
      <c r="F2045" s="4" t="s">
        <v>4</v>
      </c>
    </row>
    <row r="2046" spans="1:6" hidden="1" x14ac:dyDescent="0.25">
      <c r="A2046" s="6" t="s">
        <v>961</v>
      </c>
      <c r="B2046" s="6" t="s">
        <v>46</v>
      </c>
      <c r="C2046" s="6" t="s">
        <v>997</v>
      </c>
      <c r="D2046" s="4" t="s">
        <v>996</v>
      </c>
      <c r="F2046" s="4" t="s">
        <v>4</v>
      </c>
    </row>
    <row r="2047" spans="1:6" hidden="1" x14ac:dyDescent="0.25">
      <c r="A2047" s="6" t="s">
        <v>961</v>
      </c>
      <c r="B2047" s="6" t="s">
        <v>46</v>
      </c>
      <c r="C2047" s="6" t="s">
        <v>974</v>
      </c>
      <c r="D2047" s="4" t="s">
        <v>996</v>
      </c>
      <c r="F2047" s="4" t="s">
        <v>4</v>
      </c>
    </row>
    <row r="2048" spans="1:6" hidden="1" x14ac:dyDescent="0.25">
      <c r="A2048" s="6" t="s">
        <v>961</v>
      </c>
      <c r="B2048" s="6" t="s">
        <v>46</v>
      </c>
      <c r="C2048" s="6" t="s">
        <v>975</v>
      </c>
      <c r="D2048" s="4" t="s">
        <v>996</v>
      </c>
      <c r="F2048" s="4" t="s">
        <v>4</v>
      </c>
    </row>
    <row r="2049" spans="1:6" hidden="1" x14ac:dyDescent="0.25">
      <c r="A2049" s="6" t="s">
        <v>961</v>
      </c>
      <c r="B2049" s="6" t="s">
        <v>46</v>
      </c>
      <c r="C2049" s="6" t="s">
        <v>977</v>
      </c>
      <c r="D2049" s="4" t="s">
        <v>994</v>
      </c>
      <c r="F2049" s="4" t="s">
        <v>4</v>
      </c>
    </row>
    <row r="2050" spans="1:6" hidden="1" x14ac:dyDescent="0.25">
      <c r="A2050" s="6" t="s">
        <v>961</v>
      </c>
      <c r="B2050" s="6" t="s">
        <v>46</v>
      </c>
      <c r="C2050" s="6" t="s">
        <v>978</v>
      </c>
      <c r="D2050" s="4" t="s">
        <v>996</v>
      </c>
    </row>
    <row r="2051" spans="1:6" hidden="1" x14ac:dyDescent="0.25">
      <c r="A2051" s="6" t="s">
        <v>961</v>
      </c>
      <c r="B2051" s="6" t="s">
        <v>46</v>
      </c>
      <c r="C2051" s="6" t="s">
        <v>979</v>
      </c>
      <c r="D2051" s="4" t="s">
        <v>996</v>
      </c>
    </row>
    <row r="2052" spans="1:6" hidden="1" x14ac:dyDescent="0.25">
      <c r="A2052" s="6" t="s">
        <v>961</v>
      </c>
      <c r="B2052" s="6" t="s">
        <v>72</v>
      </c>
      <c r="C2052" s="6" t="s">
        <v>978</v>
      </c>
      <c r="D2052" s="4" t="s">
        <v>998</v>
      </c>
    </row>
    <row r="2053" spans="1:6" hidden="1" x14ac:dyDescent="0.25">
      <c r="A2053" s="6" t="s">
        <v>961</v>
      </c>
      <c r="B2053" s="6" t="s">
        <v>999</v>
      </c>
      <c r="C2053" s="6" t="s">
        <v>978</v>
      </c>
      <c r="D2053" s="4" t="s">
        <v>1000</v>
      </c>
    </row>
    <row r="2054" spans="1:6" hidden="1" x14ac:dyDescent="0.25">
      <c r="A2054" s="6" t="s">
        <v>961</v>
      </c>
      <c r="B2054" s="6" t="s">
        <v>544</v>
      </c>
      <c r="C2054" s="6" t="s">
        <v>985</v>
      </c>
      <c r="D2054" s="4" t="s">
        <v>1001</v>
      </c>
    </row>
    <row r="2055" spans="1:6" hidden="1" x14ac:dyDescent="0.25">
      <c r="A2055" s="6" t="s">
        <v>961</v>
      </c>
      <c r="B2055" s="6" t="s">
        <v>1002</v>
      </c>
      <c r="C2055" s="6" t="s">
        <v>985</v>
      </c>
      <c r="D2055" s="4" t="s">
        <v>1003</v>
      </c>
    </row>
    <row r="2056" spans="1:6" hidden="1" x14ac:dyDescent="0.25">
      <c r="A2056" s="6" t="s">
        <v>961</v>
      </c>
      <c r="B2056" s="6" t="s">
        <v>1004</v>
      </c>
      <c r="C2056" s="6" t="s">
        <v>966</v>
      </c>
      <c r="D2056" s="4" t="s">
        <v>1005</v>
      </c>
    </row>
    <row r="2057" spans="1:6" hidden="1" x14ac:dyDescent="0.25">
      <c r="A2057" s="6" t="s">
        <v>961</v>
      </c>
      <c r="B2057" s="6" t="s">
        <v>1004</v>
      </c>
      <c r="C2057" s="6" t="s">
        <v>968</v>
      </c>
      <c r="D2057" s="4" t="s">
        <v>1006</v>
      </c>
      <c r="F2057" s="6"/>
    </row>
    <row r="2058" spans="1:6" hidden="1" x14ac:dyDescent="0.25">
      <c r="A2058" s="6" t="s">
        <v>961</v>
      </c>
      <c r="B2058" s="6" t="s">
        <v>1004</v>
      </c>
      <c r="C2058" s="6" t="s">
        <v>970</v>
      </c>
      <c r="D2058" s="4" t="s">
        <v>1006</v>
      </c>
      <c r="F2058" s="6"/>
    </row>
    <row r="2059" spans="1:6" hidden="1" x14ac:dyDescent="0.25">
      <c r="A2059" s="6" t="s">
        <v>961</v>
      </c>
      <c r="B2059" s="6" t="s">
        <v>1004</v>
      </c>
      <c r="C2059" s="6" t="s">
        <v>973</v>
      </c>
      <c r="D2059" s="4" t="s">
        <v>1006</v>
      </c>
      <c r="F2059" s="4" t="s">
        <v>4</v>
      </c>
    </row>
    <row r="2060" spans="1:6" hidden="1" x14ac:dyDescent="0.25">
      <c r="A2060" s="6" t="s">
        <v>961</v>
      </c>
      <c r="B2060" s="6" t="s">
        <v>1004</v>
      </c>
      <c r="C2060" s="6" t="s">
        <v>983</v>
      </c>
      <c r="D2060" s="4" t="s">
        <v>1005</v>
      </c>
      <c r="F2060" s="4" t="s">
        <v>4</v>
      </c>
    </row>
    <row r="2061" spans="1:6" hidden="1" x14ac:dyDescent="0.25">
      <c r="A2061" s="6" t="s">
        <v>961</v>
      </c>
      <c r="B2061" s="6" t="s">
        <v>1004</v>
      </c>
      <c r="C2061" s="6" t="s">
        <v>997</v>
      </c>
      <c r="D2061" s="4" t="s">
        <v>1006</v>
      </c>
      <c r="F2061" s="4" t="s">
        <v>4</v>
      </c>
    </row>
    <row r="2062" spans="1:6" hidden="1" x14ac:dyDescent="0.25">
      <c r="A2062" s="6" t="s">
        <v>961</v>
      </c>
      <c r="B2062" s="6" t="s">
        <v>1004</v>
      </c>
      <c r="C2062" s="6" t="s">
        <v>974</v>
      </c>
      <c r="D2062" s="4" t="s">
        <v>1006</v>
      </c>
      <c r="F2062" s="4" t="s">
        <v>4</v>
      </c>
    </row>
    <row r="2063" spans="1:6" hidden="1" x14ac:dyDescent="0.25">
      <c r="A2063" s="6" t="s">
        <v>961</v>
      </c>
      <c r="B2063" s="6" t="s">
        <v>1004</v>
      </c>
      <c r="C2063" s="6" t="s">
        <v>975</v>
      </c>
      <c r="D2063" s="4" t="s">
        <v>1006</v>
      </c>
      <c r="F2063" s="4" t="s">
        <v>4</v>
      </c>
    </row>
    <row r="2064" spans="1:6" hidden="1" x14ac:dyDescent="0.25">
      <c r="A2064" s="6" t="s">
        <v>961</v>
      </c>
      <c r="B2064" s="6" t="s">
        <v>1004</v>
      </c>
      <c r="C2064" s="6" t="s">
        <v>976</v>
      </c>
      <c r="D2064" s="4" t="s">
        <v>1006</v>
      </c>
      <c r="F2064" s="4" t="s">
        <v>4</v>
      </c>
    </row>
    <row r="2065" spans="1:6" hidden="1" x14ac:dyDescent="0.25">
      <c r="A2065" s="6" t="s">
        <v>961</v>
      </c>
      <c r="B2065" s="6" t="s">
        <v>1004</v>
      </c>
      <c r="C2065" s="6" t="s">
        <v>993</v>
      </c>
      <c r="D2065" s="4" t="s">
        <v>1006</v>
      </c>
      <c r="F2065" s="4" t="s">
        <v>4</v>
      </c>
    </row>
    <row r="2066" spans="1:6" hidden="1" x14ac:dyDescent="0.25">
      <c r="A2066" s="6" t="s">
        <v>961</v>
      </c>
      <c r="B2066" s="6" t="s">
        <v>1004</v>
      </c>
      <c r="C2066" s="6" t="s">
        <v>981</v>
      </c>
      <c r="D2066" s="4" t="s">
        <v>1006</v>
      </c>
      <c r="F2066" s="4" t="s">
        <v>4</v>
      </c>
    </row>
    <row r="2067" spans="1:6" hidden="1" x14ac:dyDescent="0.25">
      <c r="A2067" s="6" t="s">
        <v>961</v>
      </c>
      <c r="B2067" s="6" t="s">
        <v>192</v>
      </c>
      <c r="C2067" s="6" t="s">
        <v>968</v>
      </c>
      <c r="D2067" s="4" t="s">
        <v>1007</v>
      </c>
    </row>
    <row r="2068" spans="1:6" hidden="1" x14ac:dyDescent="0.25">
      <c r="A2068" s="6" t="s">
        <v>961</v>
      </c>
      <c r="B2068" s="6" t="s">
        <v>192</v>
      </c>
      <c r="C2068" s="6" t="s">
        <v>970</v>
      </c>
      <c r="D2068" s="4" t="s">
        <v>1007</v>
      </c>
      <c r="F2068" s="4" t="s">
        <v>4</v>
      </c>
    </row>
    <row r="2069" spans="1:6" hidden="1" x14ac:dyDescent="0.25">
      <c r="A2069" s="6" t="s">
        <v>961</v>
      </c>
      <c r="B2069" s="6" t="s">
        <v>192</v>
      </c>
      <c r="C2069" s="6" t="s">
        <v>971</v>
      </c>
      <c r="D2069" s="4" t="s">
        <v>1007</v>
      </c>
      <c r="F2069" s="4" t="s">
        <v>4</v>
      </c>
    </row>
    <row r="2070" spans="1:6" hidden="1" x14ac:dyDescent="0.25">
      <c r="A2070" s="6" t="s">
        <v>961</v>
      </c>
      <c r="B2070" s="6" t="s">
        <v>192</v>
      </c>
      <c r="C2070" s="6" t="s">
        <v>972</v>
      </c>
      <c r="D2070" s="4" t="s">
        <v>1007</v>
      </c>
      <c r="F2070" s="4" t="s">
        <v>4</v>
      </c>
    </row>
    <row r="2071" spans="1:6" hidden="1" x14ac:dyDescent="0.25">
      <c r="A2071" s="6" t="s">
        <v>961</v>
      </c>
      <c r="B2071" s="6" t="s">
        <v>192</v>
      </c>
      <c r="C2071" s="6" t="s">
        <v>973</v>
      </c>
      <c r="D2071" s="4" t="s">
        <v>1007</v>
      </c>
      <c r="F2071" s="4" t="s">
        <v>4</v>
      </c>
    </row>
    <row r="2072" spans="1:6" hidden="1" x14ac:dyDescent="0.25">
      <c r="A2072" s="6" t="s">
        <v>961</v>
      </c>
      <c r="B2072" s="6" t="s">
        <v>192</v>
      </c>
      <c r="C2072" s="6" t="s">
        <v>983</v>
      </c>
      <c r="D2072" s="4" t="s">
        <v>1008</v>
      </c>
      <c r="F2072" s="4" t="s">
        <v>4</v>
      </c>
    </row>
    <row r="2073" spans="1:6" hidden="1" x14ac:dyDescent="0.25">
      <c r="A2073" s="6" t="s">
        <v>961</v>
      </c>
      <c r="B2073" s="6" t="s">
        <v>192</v>
      </c>
      <c r="C2073" s="6" t="s">
        <v>1009</v>
      </c>
      <c r="D2073" s="4" t="s">
        <v>1008</v>
      </c>
      <c r="F2073" s="4" t="s">
        <v>4</v>
      </c>
    </row>
    <row r="2074" spans="1:6" hidden="1" x14ac:dyDescent="0.25">
      <c r="A2074" s="6" t="s">
        <v>961</v>
      </c>
      <c r="B2074" s="6" t="s">
        <v>192</v>
      </c>
      <c r="C2074" s="6" t="s">
        <v>974</v>
      </c>
      <c r="D2074" s="4" t="s">
        <v>1007</v>
      </c>
      <c r="F2074" s="4" t="s">
        <v>4</v>
      </c>
    </row>
    <row r="2075" spans="1:6" hidden="1" x14ac:dyDescent="0.25">
      <c r="A2075" s="6" t="s">
        <v>961</v>
      </c>
      <c r="B2075" s="6" t="s">
        <v>192</v>
      </c>
      <c r="C2075" s="6" t="s">
        <v>975</v>
      </c>
      <c r="D2075" s="4" t="s">
        <v>1007</v>
      </c>
      <c r="F2075" s="4" t="s">
        <v>4</v>
      </c>
    </row>
    <row r="2076" spans="1:6" hidden="1" x14ac:dyDescent="0.25">
      <c r="A2076" s="6" t="s">
        <v>961</v>
      </c>
      <c r="B2076" s="6" t="s">
        <v>192</v>
      </c>
      <c r="C2076" s="6" t="s">
        <v>993</v>
      </c>
      <c r="D2076" s="4" t="s">
        <v>1007</v>
      </c>
      <c r="F2076" s="4" t="s">
        <v>4</v>
      </c>
    </row>
    <row r="2077" spans="1:6" hidden="1" x14ac:dyDescent="0.25">
      <c r="A2077" s="6" t="s">
        <v>961</v>
      </c>
      <c r="B2077" s="6" t="s">
        <v>192</v>
      </c>
      <c r="C2077" s="6" t="s">
        <v>979</v>
      </c>
      <c r="D2077" s="4" t="s">
        <v>1007</v>
      </c>
      <c r="F2077" s="4" t="s">
        <v>4</v>
      </c>
    </row>
    <row r="2078" spans="1:6" hidden="1" x14ac:dyDescent="0.25">
      <c r="A2078" s="6" t="s">
        <v>961</v>
      </c>
      <c r="B2078" s="6" t="s">
        <v>192</v>
      </c>
      <c r="C2078" s="6" t="s">
        <v>980</v>
      </c>
      <c r="D2078" s="4" t="s">
        <v>1007</v>
      </c>
      <c r="F2078" s="4" t="s">
        <v>4</v>
      </c>
    </row>
    <row r="2079" spans="1:6" hidden="1" x14ac:dyDescent="0.25">
      <c r="A2079" s="6" t="s">
        <v>961</v>
      </c>
      <c r="B2079" s="6" t="s">
        <v>192</v>
      </c>
      <c r="C2079" s="6" t="s">
        <v>981</v>
      </c>
      <c r="D2079" s="4" t="s">
        <v>1007</v>
      </c>
    </row>
    <row r="2081" spans="1:5" x14ac:dyDescent="0.25">
      <c r="A2081" s="6" t="s">
        <v>1010</v>
      </c>
      <c r="B2081" s="6" t="s">
        <v>4</v>
      </c>
      <c r="C2081" s="6" t="s">
        <v>4</v>
      </c>
      <c r="D2081" s="4" t="s">
        <v>4</v>
      </c>
      <c r="E2081" s="5">
        <f>SUM(E1982:E1993)</f>
        <v>546242.92000000004</v>
      </c>
    </row>
    <row r="2083" spans="1:5" x14ac:dyDescent="0.25">
      <c r="A2083" s="6" t="s">
        <v>1011</v>
      </c>
    </row>
    <row r="2084" spans="1:5" x14ac:dyDescent="0.25">
      <c r="A2084" s="6" t="s">
        <v>12</v>
      </c>
    </row>
    <row r="2085" spans="1:5" x14ac:dyDescent="0.25">
      <c r="A2085" s="6" t="s">
        <v>1012</v>
      </c>
      <c r="B2085" s="6" t="s">
        <v>55</v>
      </c>
      <c r="D2085" s="4" t="s">
        <v>56</v>
      </c>
      <c r="E2085" s="5">
        <v>38702</v>
      </c>
    </row>
    <row r="2086" spans="1:5" x14ac:dyDescent="0.25">
      <c r="A2086" s="6" t="s">
        <v>1012</v>
      </c>
      <c r="B2086" s="6" t="s">
        <v>32</v>
      </c>
      <c r="D2086" s="4" t="s">
        <v>33</v>
      </c>
      <c r="E2086" s="5">
        <v>30033</v>
      </c>
    </row>
    <row r="2087" spans="1:5" x14ac:dyDescent="0.25">
      <c r="A2087" s="6" t="s">
        <v>1012</v>
      </c>
      <c r="B2087" s="6" t="s">
        <v>19</v>
      </c>
      <c r="D2087" s="4" t="s">
        <v>20</v>
      </c>
      <c r="E2087" s="5">
        <f>SUM(E2085:E2086)*B3798</f>
        <v>996.65750000000003</v>
      </c>
    </row>
    <row r="2088" spans="1:5" x14ac:dyDescent="0.25">
      <c r="A2088" s="6" t="s">
        <v>1012</v>
      </c>
      <c r="B2088" s="11" t="s">
        <v>40</v>
      </c>
      <c r="D2088" s="4" t="s">
        <v>60</v>
      </c>
      <c r="E2088" s="5">
        <f>SUM(E2085:E2086)*B3799</f>
        <v>2062.0499999999997</v>
      </c>
    </row>
    <row r="2090" spans="1:5" x14ac:dyDescent="0.25">
      <c r="A2090" s="6" t="s">
        <v>1013</v>
      </c>
      <c r="B2090" s="6" t="s">
        <v>4</v>
      </c>
      <c r="C2090" s="6" t="s">
        <v>4</v>
      </c>
      <c r="D2090" s="4" t="s">
        <v>4</v>
      </c>
      <c r="E2090" s="5">
        <f>SUM(E2085:E2088)</f>
        <v>71793.707500000004</v>
      </c>
    </row>
    <row r="2092" spans="1:5" x14ac:dyDescent="0.25">
      <c r="A2092" s="6" t="s">
        <v>1014</v>
      </c>
    </row>
    <row r="2093" spans="1:5" x14ac:dyDescent="0.25">
      <c r="A2093" s="6" t="s">
        <v>12</v>
      </c>
    </row>
    <row r="2094" spans="1:5" x14ac:dyDescent="0.25">
      <c r="A2094" s="11" t="s">
        <v>1015</v>
      </c>
      <c r="B2094" s="6" t="s">
        <v>55</v>
      </c>
      <c r="D2094" s="4" t="s">
        <v>56</v>
      </c>
      <c r="E2094" s="5">
        <v>6375</v>
      </c>
    </row>
    <row r="2095" spans="1:5" x14ac:dyDescent="0.25">
      <c r="A2095" s="11" t="s">
        <v>1015</v>
      </c>
      <c r="B2095" s="11" t="s">
        <v>32</v>
      </c>
      <c r="D2095" s="4" t="s">
        <v>33</v>
      </c>
      <c r="E2095" s="5">
        <f>4441-4441</f>
        <v>0</v>
      </c>
    </row>
    <row r="2096" spans="1:5" x14ac:dyDescent="0.25">
      <c r="A2096" s="11" t="s">
        <v>1015</v>
      </c>
      <c r="B2096" s="6" t="s">
        <v>19</v>
      </c>
      <c r="D2096" s="4" t="s">
        <v>20</v>
      </c>
      <c r="E2096" s="5">
        <f>SUM(E2094:E2095)*B3798</f>
        <v>92.4375</v>
      </c>
    </row>
    <row r="2097" spans="1:5" x14ac:dyDescent="0.25">
      <c r="A2097" s="11" t="s">
        <v>1015</v>
      </c>
      <c r="B2097" s="11" t="s">
        <v>40</v>
      </c>
      <c r="D2097" s="4" t="s">
        <v>60</v>
      </c>
      <c r="E2097" s="5">
        <f>SUM(E2094:E2095)*B3799</f>
        <v>191.25</v>
      </c>
    </row>
    <row r="2099" spans="1:5" x14ac:dyDescent="0.25">
      <c r="A2099" s="6" t="s">
        <v>1016</v>
      </c>
      <c r="B2099" s="6" t="s">
        <v>4</v>
      </c>
      <c r="C2099" s="6" t="s">
        <v>4</v>
      </c>
      <c r="D2099" s="4" t="s">
        <v>4</v>
      </c>
      <c r="E2099" s="5">
        <f>SUM(E2094:E2097)</f>
        <v>6658.6875</v>
      </c>
    </row>
    <row r="2101" spans="1:5" x14ac:dyDescent="0.25">
      <c r="A2101" s="6" t="s">
        <v>1017</v>
      </c>
    </row>
    <row r="2102" spans="1:5" x14ac:dyDescent="0.25">
      <c r="A2102" s="6" t="s">
        <v>12</v>
      </c>
    </row>
    <row r="2103" spans="1:5" x14ac:dyDescent="0.25">
      <c r="A2103" s="6" t="s">
        <v>1018</v>
      </c>
      <c r="B2103" s="12" t="s">
        <v>53</v>
      </c>
      <c r="D2103" s="4" t="s">
        <v>54</v>
      </c>
      <c r="E2103" s="5">
        <v>72125</v>
      </c>
    </row>
    <row r="2104" spans="1:5" x14ac:dyDescent="0.25">
      <c r="A2104" s="6" t="s">
        <v>1018</v>
      </c>
      <c r="B2104" s="11" t="s">
        <v>55</v>
      </c>
      <c r="D2104" s="4" t="s">
        <v>56</v>
      </c>
      <c r="E2104" s="5">
        <v>68882</v>
      </c>
    </row>
    <row r="2105" spans="1:5" x14ac:dyDescent="0.25">
      <c r="A2105" s="6" t="s">
        <v>1018</v>
      </c>
      <c r="B2105" s="6" t="s">
        <v>32</v>
      </c>
      <c r="D2105" s="4" t="s">
        <v>33</v>
      </c>
      <c r="E2105" s="5">
        <v>118507</v>
      </c>
    </row>
    <row r="2106" spans="1:5" x14ac:dyDescent="0.25">
      <c r="A2106" s="6" t="s">
        <v>1018</v>
      </c>
      <c r="B2106" s="6" t="s">
        <v>14</v>
      </c>
      <c r="D2106" s="4" t="s">
        <v>15</v>
      </c>
      <c r="E2106" s="5">
        <v>62022</v>
      </c>
    </row>
    <row r="2107" spans="1:5" x14ac:dyDescent="0.25">
      <c r="A2107" s="6" t="s">
        <v>1018</v>
      </c>
      <c r="B2107" s="6" t="s">
        <v>17</v>
      </c>
      <c r="D2107" s="4" t="s">
        <v>18</v>
      </c>
      <c r="E2107" s="5">
        <f>E2106*B3801</f>
        <v>3845.364</v>
      </c>
    </row>
    <row r="2108" spans="1:5" x14ac:dyDescent="0.25">
      <c r="A2108" s="6" t="s">
        <v>1018</v>
      </c>
      <c r="B2108" s="6" t="s">
        <v>19</v>
      </c>
      <c r="D2108" s="4" t="s">
        <v>20</v>
      </c>
      <c r="E2108" s="5">
        <f>SUM(E2103:E2106)*B3802</f>
        <v>4662.2719999999999</v>
      </c>
    </row>
    <row r="2109" spans="1:5" x14ac:dyDescent="0.25">
      <c r="A2109" s="6" t="s">
        <v>1018</v>
      </c>
      <c r="B2109" s="11" t="s">
        <v>40</v>
      </c>
      <c r="D2109" s="4" t="s">
        <v>60</v>
      </c>
      <c r="E2109" s="5">
        <f>SUM(E2103:E2105)*B3799</f>
        <v>7785.42</v>
      </c>
    </row>
    <row r="2110" spans="1:5" x14ac:dyDescent="0.25">
      <c r="A2110" s="6" t="s">
        <v>1018</v>
      </c>
      <c r="B2110" s="6" t="s">
        <v>21</v>
      </c>
      <c r="D2110" s="4" t="s">
        <v>22</v>
      </c>
      <c r="E2110" s="5">
        <f>E2106*B3803</f>
        <v>14475.934799999999</v>
      </c>
    </row>
    <row r="2111" spans="1:5" x14ac:dyDescent="0.25">
      <c r="A2111" s="6" t="s">
        <v>1018</v>
      </c>
      <c r="B2111" s="11" t="s">
        <v>88</v>
      </c>
      <c r="D2111" s="4" t="s">
        <v>89</v>
      </c>
      <c r="E2111" s="5">
        <v>0</v>
      </c>
    </row>
    <row r="2112" spans="1:5" x14ac:dyDescent="0.25">
      <c r="A2112" s="6" t="s">
        <v>1018</v>
      </c>
      <c r="B2112" s="6" t="s">
        <v>70</v>
      </c>
      <c r="D2112" s="4" t="s">
        <v>525</v>
      </c>
      <c r="E2112" s="5">
        <v>0</v>
      </c>
    </row>
    <row r="2113" spans="1:5" x14ac:dyDescent="0.25">
      <c r="A2113" s="6" t="s">
        <v>1018</v>
      </c>
      <c r="B2113" s="6" t="s">
        <v>46</v>
      </c>
      <c r="D2113" s="4" t="s">
        <v>47</v>
      </c>
      <c r="E2113" s="5">
        <v>0</v>
      </c>
    </row>
    <row r="2114" spans="1:5" x14ac:dyDescent="0.25">
      <c r="A2114" s="6" t="s">
        <v>1018</v>
      </c>
      <c r="B2114" s="6" t="s">
        <v>48</v>
      </c>
      <c r="D2114" s="4" t="s">
        <v>761</v>
      </c>
      <c r="E2114" s="5">
        <v>0</v>
      </c>
    </row>
    <row r="2116" spans="1:5" x14ac:dyDescent="0.25">
      <c r="A2116" s="6" t="s">
        <v>1019</v>
      </c>
      <c r="B2116" s="6" t="s">
        <v>4</v>
      </c>
      <c r="C2116" s="6" t="s">
        <v>4</v>
      </c>
      <c r="D2116" s="4" t="s">
        <v>4</v>
      </c>
      <c r="E2116" s="5">
        <f>SUM(E2103:E2114)</f>
        <v>352304.99079999997</v>
      </c>
    </row>
    <row r="2118" spans="1:5" x14ac:dyDescent="0.25">
      <c r="A2118" s="6" t="s">
        <v>1020</v>
      </c>
    </row>
    <row r="2119" spans="1:5" x14ac:dyDescent="0.25">
      <c r="A2119" s="6" t="s">
        <v>12</v>
      </c>
    </row>
    <row r="2120" spans="1:5" x14ac:dyDescent="0.25">
      <c r="A2120" s="6" t="s">
        <v>1021</v>
      </c>
      <c r="B2120" s="12" t="s">
        <v>34</v>
      </c>
      <c r="D2120" s="4" t="s">
        <v>57</v>
      </c>
      <c r="E2120" s="5">
        <v>0</v>
      </c>
    </row>
    <row r="2121" spans="1:5" x14ac:dyDescent="0.25">
      <c r="A2121" s="6" t="s">
        <v>1021</v>
      </c>
      <c r="B2121" s="11" t="s">
        <v>14</v>
      </c>
      <c r="D2121" s="4" t="s">
        <v>15</v>
      </c>
      <c r="E2121" s="5">
        <v>0</v>
      </c>
    </row>
    <row r="2122" spans="1:5" x14ac:dyDescent="0.25">
      <c r="A2122" s="6" t="s">
        <v>1021</v>
      </c>
      <c r="B2122" s="11" t="s">
        <v>17</v>
      </c>
      <c r="D2122" s="4" t="s">
        <v>18</v>
      </c>
      <c r="E2122" s="5">
        <f>E2121*B3801</f>
        <v>0</v>
      </c>
    </row>
    <row r="2123" spans="1:5" x14ac:dyDescent="0.25">
      <c r="A2123" s="6" t="s">
        <v>1021</v>
      </c>
      <c r="B2123" s="11" t="s">
        <v>19</v>
      </c>
      <c r="D2123" s="4" t="s">
        <v>20</v>
      </c>
      <c r="E2123" s="5">
        <f>(E2120+E2121)*B3802</f>
        <v>0</v>
      </c>
    </row>
    <row r="2124" spans="1:5" x14ac:dyDescent="0.25">
      <c r="A2124" s="6" t="s">
        <v>1021</v>
      </c>
      <c r="B2124" s="11" t="s">
        <v>40</v>
      </c>
      <c r="D2124" s="4" t="s">
        <v>60</v>
      </c>
      <c r="E2124" s="5">
        <f>E2120*B3799</f>
        <v>0</v>
      </c>
    </row>
    <row r="2125" spans="1:5" x14ac:dyDescent="0.25">
      <c r="A2125" s="6" t="s">
        <v>1021</v>
      </c>
      <c r="B2125" s="11" t="s">
        <v>21</v>
      </c>
      <c r="D2125" s="4" t="s">
        <v>22</v>
      </c>
      <c r="E2125" s="5">
        <f>E2121*B3803</f>
        <v>0</v>
      </c>
    </row>
    <row r="2126" spans="1:5" x14ac:dyDescent="0.25">
      <c r="A2126" s="6" t="s">
        <v>1021</v>
      </c>
      <c r="B2126" s="11" t="s">
        <v>61</v>
      </c>
      <c r="D2126" s="4" t="s">
        <v>62</v>
      </c>
      <c r="E2126" s="5">
        <v>0</v>
      </c>
    </row>
    <row r="2127" spans="1:5" x14ac:dyDescent="0.25">
      <c r="A2127" s="6" t="s">
        <v>1021</v>
      </c>
      <c r="B2127" s="11" t="s">
        <v>159</v>
      </c>
      <c r="D2127" s="4" t="s">
        <v>371</v>
      </c>
      <c r="E2127" s="5">
        <v>0</v>
      </c>
    </row>
    <row r="2128" spans="1:5" x14ac:dyDescent="0.25">
      <c r="A2128" s="6" t="s">
        <v>1021</v>
      </c>
      <c r="B2128" s="11" t="s">
        <v>44</v>
      </c>
      <c r="D2128" s="4" t="s">
        <v>1022</v>
      </c>
      <c r="E2128" s="5">
        <f>17000+1000</f>
        <v>18000</v>
      </c>
    </row>
    <row r="2129" spans="1:5" x14ac:dyDescent="0.25">
      <c r="A2129" s="6" t="s">
        <v>1021</v>
      </c>
      <c r="B2129" s="11" t="s">
        <v>1023</v>
      </c>
      <c r="D2129" s="4" t="s">
        <v>1024</v>
      </c>
      <c r="E2129" s="5">
        <v>3000</v>
      </c>
    </row>
    <row r="2130" spans="1:5" x14ac:dyDescent="0.25">
      <c r="A2130" s="6" t="s">
        <v>1021</v>
      </c>
      <c r="B2130" s="6" t="s">
        <v>161</v>
      </c>
      <c r="D2130" s="4" t="s">
        <v>162</v>
      </c>
      <c r="E2130" s="5">
        <f>38000+2000+2500+3000</f>
        <v>45500</v>
      </c>
    </row>
    <row r="2131" spans="1:5" x14ac:dyDescent="0.25">
      <c r="A2131" s="6" t="s">
        <v>1021</v>
      </c>
      <c r="B2131" s="6" t="s">
        <v>167</v>
      </c>
      <c r="D2131" s="4" t="s">
        <v>537</v>
      </c>
      <c r="E2131" s="5">
        <v>4500</v>
      </c>
    </row>
    <row r="2132" spans="1:5" x14ac:dyDescent="0.25">
      <c r="A2132" s="6" t="s">
        <v>1021</v>
      </c>
      <c r="B2132" s="11" t="s">
        <v>169</v>
      </c>
      <c r="D2132" s="4" t="s">
        <v>840</v>
      </c>
      <c r="E2132" s="5">
        <v>4000</v>
      </c>
    </row>
    <row r="2133" spans="1:5" x14ac:dyDescent="0.25">
      <c r="A2133" s="6" t="s">
        <v>1021</v>
      </c>
      <c r="B2133" s="11" t="s">
        <v>136</v>
      </c>
      <c r="D2133" s="4" t="s">
        <v>1025</v>
      </c>
      <c r="E2133" s="5">
        <v>0</v>
      </c>
    </row>
    <row r="2134" spans="1:5" x14ac:dyDescent="0.25">
      <c r="A2134" s="6" t="s">
        <v>1021</v>
      </c>
      <c r="B2134" s="6" t="s">
        <v>171</v>
      </c>
      <c r="D2134" s="4" t="s">
        <v>516</v>
      </c>
      <c r="E2134" s="5">
        <v>17000</v>
      </c>
    </row>
    <row r="2135" spans="1:5" x14ac:dyDescent="0.25">
      <c r="A2135" s="6" t="s">
        <v>1021</v>
      </c>
      <c r="B2135" s="11" t="s">
        <v>1026</v>
      </c>
      <c r="D2135" s="4" t="s">
        <v>1027</v>
      </c>
      <c r="E2135" s="5">
        <v>2000</v>
      </c>
    </row>
    <row r="2136" spans="1:5" x14ac:dyDescent="0.25">
      <c r="A2136" s="6" t="s">
        <v>1021</v>
      </c>
      <c r="B2136" s="11" t="s">
        <v>173</v>
      </c>
      <c r="D2136" s="4" t="s">
        <v>538</v>
      </c>
      <c r="E2136" s="5">
        <v>30000</v>
      </c>
    </row>
    <row r="2137" spans="1:5" x14ac:dyDescent="0.25">
      <c r="A2137" s="6" t="s">
        <v>1021</v>
      </c>
      <c r="B2137" s="11" t="s">
        <v>1028</v>
      </c>
      <c r="D2137" s="4" t="s">
        <v>1029</v>
      </c>
      <c r="E2137" s="5">
        <v>0</v>
      </c>
    </row>
    <row r="2138" spans="1:5" x14ac:dyDescent="0.25">
      <c r="A2138" s="6" t="s">
        <v>1021</v>
      </c>
      <c r="B2138" s="11" t="s">
        <v>542</v>
      </c>
      <c r="D2138" s="4" t="s">
        <v>843</v>
      </c>
      <c r="E2138" s="5">
        <v>4000</v>
      </c>
    </row>
    <row r="2139" spans="1:5" x14ac:dyDescent="0.25">
      <c r="A2139" s="6" t="s">
        <v>1021</v>
      </c>
      <c r="B2139" s="11" t="s">
        <v>1030</v>
      </c>
      <c r="D2139" s="4" t="s">
        <v>1031</v>
      </c>
      <c r="E2139" s="5">
        <v>250</v>
      </c>
    </row>
    <row r="2140" spans="1:5" x14ac:dyDescent="0.25">
      <c r="A2140" s="6" t="s">
        <v>1021</v>
      </c>
      <c r="B2140" s="11" t="s">
        <v>1032</v>
      </c>
      <c r="D2140" s="4" t="s">
        <v>1033</v>
      </c>
      <c r="E2140" s="5">
        <v>3000</v>
      </c>
    </row>
    <row r="2141" spans="1:5" x14ac:dyDescent="0.25">
      <c r="A2141" s="6" t="s">
        <v>1021</v>
      </c>
      <c r="B2141" s="11" t="s">
        <v>1034</v>
      </c>
      <c r="D2141" s="4" t="s">
        <v>1035</v>
      </c>
      <c r="E2141" s="5">
        <v>2500</v>
      </c>
    </row>
    <row r="2142" spans="1:5" x14ac:dyDescent="0.25">
      <c r="A2142" s="6" t="s">
        <v>1021</v>
      </c>
      <c r="B2142" s="11" t="s">
        <v>175</v>
      </c>
      <c r="D2142" s="4" t="s">
        <v>1036</v>
      </c>
      <c r="E2142" s="5">
        <v>500</v>
      </c>
    </row>
    <row r="2143" spans="1:5" x14ac:dyDescent="0.25">
      <c r="A2143" s="6" t="s">
        <v>1021</v>
      </c>
      <c r="B2143" s="11" t="s">
        <v>1037</v>
      </c>
      <c r="D2143" s="4" t="s">
        <v>1038</v>
      </c>
      <c r="E2143" s="5">
        <v>2000</v>
      </c>
    </row>
    <row r="2144" spans="1:5" x14ac:dyDescent="0.25">
      <c r="A2144" s="6" t="s">
        <v>1021</v>
      </c>
      <c r="B2144" s="11" t="s">
        <v>88</v>
      </c>
      <c r="D2144" s="4" t="s">
        <v>89</v>
      </c>
      <c r="E2144" s="5">
        <v>0</v>
      </c>
    </row>
    <row r="2145" spans="1:6" x14ac:dyDescent="0.25">
      <c r="A2145" s="6" t="s">
        <v>1021</v>
      </c>
      <c r="B2145" s="11" t="s">
        <v>66</v>
      </c>
      <c r="D2145" s="4" t="s">
        <v>310</v>
      </c>
      <c r="E2145" s="5">
        <v>0</v>
      </c>
    </row>
    <row r="2146" spans="1:6" x14ac:dyDescent="0.25">
      <c r="A2146" s="6" t="s">
        <v>1021</v>
      </c>
      <c r="B2146" s="6" t="s">
        <v>70</v>
      </c>
      <c r="D2146" s="4" t="s">
        <v>471</v>
      </c>
      <c r="E2146" s="5">
        <v>0</v>
      </c>
    </row>
    <row r="2147" spans="1:6" x14ac:dyDescent="0.25">
      <c r="A2147" s="6" t="s">
        <v>1021</v>
      </c>
      <c r="B2147" s="6" t="s">
        <v>46</v>
      </c>
      <c r="D2147" s="4" t="s">
        <v>47</v>
      </c>
      <c r="E2147" s="5">
        <v>35000</v>
      </c>
    </row>
    <row r="2148" spans="1:6" x14ac:dyDescent="0.25">
      <c r="A2148" s="6" t="s">
        <v>1021</v>
      </c>
      <c r="B2148" s="11" t="s">
        <v>1039</v>
      </c>
      <c r="D2148" s="4" t="s">
        <v>1040</v>
      </c>
      <c r="E2148" s="5">
        <v>1300</v>
      </c>
    </row>
    <row r="2149" spans="1:6" x14ac:dyDescent="0.25">
      <c r="A2149" s="6" t="s">
        <v>1021</v>
      </c>
      <c r="B2149" s="6" t="s">
        <v>177</v>
      </c>
      <c r="D2149" s="4" t="s">
        <v>178</v>
      </c>
      <c r="E2149" s="5">
        <f>90000+15000+14000</f>
        <v>119000</v>
      </c>
      <c r="F2149" s="4" t="s">
        <v>838</v>
      </c>
    </row>
    <row r="2150" spans="1:6" x14ac:dyDescent="0.25">
      <c r="A2150" s="6" t="s">
        <v>1021</v>
      </c>
      <c r="B2150" s="6" t="s">
        <v>179</v>
      </c>
      <c r="D2150" s="4" t="s">
        <v>180</v>
      </c>
      <c r="E2150" s="5">
        <f>286080-3000-14000-27700</f>
        <v>241380</v>
      </c>
      <c r="F2150" s="4" t="s">
        <v>838</v>
      </c>
    </row>
    <row r="2151" spans="1:6" x14ac:dyDescent="0.25">
      <c r="A2151" s="6" t="s">
        <v>1021</v>
      </c>
      <c r="B2151" s="11" t="s">
        <v>374</v>
      </c>
      <c r="D2151" s="4" t="s">
        <v>375</v>
      </c>
      <c r="E2151" s="5">
        <v>2000</v>
      </c>
    </row>
    <row r="2152" spans="1:6" x14ac:dyDescent="0.25">
      <c r="A2152" s="6" t="s">
        <v>1021</v>
      </c>
      <c r="B2152" s="11" t="s">
        <v>1041</v>
      </c>
      <c r="D2152" s="4" t="s">
        <v>1042</v>
      </c>
      <c r="E2152" s="5">
        <v>0</v>
      </c>
    </row>
    <row r="2153" spans="1:6" x14ac:dyDescent="0.25">
      <c r="A2153" s="6" t="s">
        <v>1021</v>
      </c>
      <c r="B2153" s="11" t="s">
        <v>544</v>
      </c>
      <c r="D2153" s="4" t="s">
        <v>545</v>
      </c>
      <c r="E2153" s="5">
        <v>7500</v>
      </c>
    </row>
    <row r="2154" spans="1:6" x14ac:dyDescent="0.25">
      <c r="A2154" s="6" t="s">
        <v>1021</v>
      </c>
      <c r="B2154" s="11" t="s">
        <v>1043</v>
      </c>
      <c r="D2154" s="4" t="s">
        <v>1044</v>
      </c>
      <c r="E2154" s="5">
        <v>2500</v>
      </c>
    </row>
    <row r="2155" spans="1:6" x14ac:dyDescent="0.25">
      <c r="A2155" s="6" t="s">
        <v>1021</v>
      </c>
      <c r="B2155" s="11" t="s">
        <v>1045</v>
      </c>
      <c r="D2155" s="4" t="s">
        <v>1046</v>
      </c>
      <c r="E2155" s="5">
        <v>4000</v>
      </c>
    </row>
    <row r="2156" spans="1:6" x14ac:dyDescent="0.25">
      <c r="A2156" s="6" t="s">
        <v>1021</v>
      </c>
      <c r="B2156" s="11" t="s">
        <v>500</v>
      </c>
      <c r="D2156" s="4" t="s">
        <v>1047</v>
      </c>
      <c r="E2156" s="5">
        <v>0</v>
      </c>
    </row>
    <row r="2157" spans="1:6" x14ac:dyDescent="0.25">
      <c r="A2157" s="6" t="s">
        <v>1021</v>
      </c>
      <c r="B2157" s="11" t="s">
        <v>112</v>
      </c>
      <c r="D2157" s="4" t="s">
        <v>311</v>
      </c>
      <c r="E2157" s="5">
        <v>0</v>
      </c>
    </row>
    <row r="2158" spans="1:6" x14ac:dyDescent="0.25">
      <c r="A2158" s="6" t="s">
        <v>1021</v>
      </c>
      <c r="B2158" s="11" t="s">
        <v>131</v>
      </c>
      <c r="D2158" s="4" t="s">
        <v>132</v>
      </c>
      <c r="E2158" s="5">
        <f>10000+27600</f>
        <v>37600</v>
      </c>
    </row>
    <row r="2159" spans="1:6" x14ac:dyDescent="0.25">
      <c r="A2159" s="6" t="s">
        <v>1021</v>
      </c>
      <c r="B2159" s="6" t="s">
        <v>192</v>
      </c>
      <c r="D2159" s="4" t="s">
        <v>546</v>
      </c>
      <c r="E2159" s="5">
        <v>5000</v>
      </c>
    </row>
    <row r="2160" spans="1:6" x14ac:dyDescent="0.25">
      <c r="A2160" s="6" t="s">
        <v>1021</v>
      </c>
      <c r="B2160" s="11" t="s">
        <v>14</v>
      </c>
      <c r="D2160" s="4" t="s">
        <v>845</v>
      </c>
      <c r="E2160" s="5">
        <v>0</v>
      </c>
    </row>
    <row r="2161" spans="1:7" x14ac:dyDescent="0.25">
      <c r="A2161" s="6" t="s">
        <v>1048</v>
      </c>
      <c r="B2161" s="6" t="s">
        <v>4</v>
      </c>
      <c r="C2161" s="6" t="s">
        <v>4</v>
      </c>
      <c r="D2161" s="4" t="s">
        <v>4</v>
      </c>
      <c r="E2161" s="5">
        <f>SUM(E2120:E2160)</f>
        <v>591530</v>
      </c>
    </row>
    <row r="2163" spans="1:7" x14ac:dyDescent="0.25">
      <c r="A2163" s="6" t="s">
        <v>1049</v>
      </c>
    </row>
    <row r="2164" spans="1:7" x14ac:dyDescent="0.25">
      <c r="A2164" s="6" t="s">
        <v>12</v>
      </c>
    </row>
    <row r="2165" spans="1:7" x14ac:dyDescent="0.25">
      <c r="A2165" s="6" t="s">
        <v>1050</v>
      </c>
      <c r="B2165" s="6" t="s">
        <v>165</v>
      </c>
      <c r="D2165" s="4" t="s">
        <v>550</v>
      </c>
      <c r="E2165" s="5">
        <f>45000+3000+4000+3000</f>
        <v>55000</v>
      </c>
      <c r="F2165" s="4" t="s">
        <v>838</v>
      </c>
    </row>
    <row r="2166" spans="1:7" x14ac:dyDescent="0.25">
      <c r="A2166" s="6" t="s">
        <v>1050</v>
      </c>
      <c r="B2166" s="11" t="s">
        <v>1051</v>
      </c>
      <c r="D2166" s="4" t="s">
        <v>1052</v>
      </c>
      <c r="E2166" s="5">
        <f>4000-4000</f>
        <v>0</v>
      </c>
    </row>
    <row r="2167" spans="1:7" x14ac:dyDescent="0.25">
      <c r="A2167" s="6" t="s">
        <v>1050</v>
      </c>
      <c r="B2167" s="6" t="s">
        <v>171</v>
      </c>
      <c r="D2167" s="4" t="s">
        <v>516</v>
      </c>
      <c r="E2167" s="5">
        <f>1800-1800</f>
        <v>0</v>
      </c>
    </row>
    <row r="2168" spans="1:7" x14ac:dyDescent="0.25">
      <c r="A2168" s="6" t="s">
        <v>1050</v>
      </c>
      <c r="B2168" s="11" t="s">
        <v>46</v>
      </c>
      <c r="D2168" s="4" t="s">
        <v>93</v>
      </c>
      <c r="E2168" s="5">
        <f>4000-4000</f>
        <v>0</v>
      </c>
    </row>
    <row r="2170" spans="1:7" x14ac:dyDescent="0.25">
      <c r="A2170" s="6" t="s">
        <v>1053</v>
      </c>
      <c r="B2170" s="6" t="s">
        <v>4</v>
      </c>
      <c r="C2170" s="6" t="s">
        <v>4</v>
      </c>
      <c r="D2170" s="4" t="s">
        <v>4</v>
      </c>
      <c r="E2170" s="5">
        <f>SUM(E2165:E2168)</f>
        <v>55000</v>
      </c>
    </row>
    <row r="2172" spans="1:7" x14ac:dyDescent="0.25">
      <c r="A2172" s="6" t="s">
        <v>1054</v>
      </c>
      <c r="F2172" s="27" t="s">
        <v>1055</v>
      </c>
      <c r="G2172" s="27"/>
    </row>
    <row r="2173" spans="1:7" x14ac:dyDescent="0.25">
      <c r="A2173" s="6" t="s">
        <v>12</v>
      </c>
    </row>
    <row r="2174" spans="1:7" hidden="1" x14ac:dyDescent="0.25">
      <c r="A2174" s="6" t="s">
        <v>1056</v>
      </c>
      <c r="B2174" s="6" t="s">
        <v>1057</v>
      </c>
      <c r="D2174" s="4" t="s">
        <v>1058</v>
      </c>
      <c r="E2174" s="5">
        <f>-1750000+1750000</f>
        <v>0</v>
      </c>
      <c r="F2174" s="4" t="s">
        <v>1059</v>
      </c>
    </row>
    <row r="2175" spans="1:7" x14ac:dyDescent="0.25">
      <c r="A2175" s="6" t="s">
        <v>1056</v>
      </c>
      <c r="B2175" s="6" t="s">
        <v>1057</v>
      </c>
      <c r="D2175" s="4" t="s">
        <v>1058</v>
      </c>
      <c r="E2175" s="15">
        <v>-5280000</v>
      </c>
      <c r="F2175" s="4" t="s">
        <v>1060</v>
      </c>
    </row>
    <row r="2176" spans="1:7" x14ac:dyDescent="0.25">
      <c r="A2176" s="6" t="s">
        <v>1056</v>
      </c>
      <c r="B2176" s="6" t="s">
        <v>1057</v>
      </c>
      <c r="D2176" s="4" t="s">
        <v>1058</v>
      </c>
      <c r="E2176" s="15">
        <f>-10359829.59-E2175</f>
        <v>-5079829.59</v>
      </c>
    </row>
    <row r="2177" spans="1:9" x14ac:dyDescent="0.25">
      <c r="A2177" s="6" t="s">
        <v>1056</v>
      </c>
      <c r="B2177" s="6" t="s">
        <v>1057</v>
      </c>
      <c r="D2177" s="4" t="s">
        <v>1058</v>
      </c>
      <c r="E2177" s="5">
        <v>0</v>
      </c>
      <c r="F2177" s="4" t="s">
        <v>1061</v>
      </c>
    </row>
    <row r="2178" spans="1:9" x14ac:dyDescent="0.25">
      <c r="A2178" s="6" t="s">
        <v>1056</v>
      </c>
      <c r="B2178" s="6" t="s">
        <v>1057</v>
      </c>
      <c r="D2178" s="4" t="s">
        <v>1058</v>
      </c>
      <c r="E2178" s="5">
        <f>-1000000+1000000</f>
        <v>0</v>
      </c>
      <c r="F2178" s="4" t="s">
        <v>1062</v>
      </c>
    </row>
    <row r="2179" spans="1:9" x14ac:dyDescent="0.25">
      <c r="A2179" s="6" t="s">
        <v>1056</v>
      </c>
      <c r="B2179" s="6" t="s">
        <v>1057</v>
      </c>
      <c r="D2179" s="4" t="s">
        <v>1058</v>
      </c>
      <c r="E2179" s="5">
        <f>-727000+727000</f>
        <v>0</v>
      </c>
      <c r="F2179" s="4" t="s">
        <v>1063</v>
      </c>
      <c r="G2179" s="5"/>
    </row>
    <row r="2180" spans="1:9" x14ac:dyDescent="0.25">
      <c r="A2180" s="6" t="s">
        <v>1056</v>
      </c>
      <c r="B2180" s="6" t="s">
        <v>1057</v>
      </c>
      <c r="D2180" s="4" t="s">
        <v>1058</v>
      </c>
      <c r="E2180" s="5">
        <f>-1032000+1032000</f>
        <v>0</v>
      </c>
      <c r="F2180" s="4" t="s">
        <v>1064</v>
      </c>
    </row>
    <row r="2181" spans="1:9" x14ac:dyDescent="0.25">
      <c r="A2181" s="6" t="s">
        <v>1056</v>
      </c>
      <c r="B2181" s="6" t="s">
        <v>1057</v>
      </c>
      <c r="D2181" s="4" t="s">
        <v>1058</v>
      </c>
      <c r="E2181" s="5">
        <v>0</v>
      </c>
    </row>
    <row r="2182" spans="1:9" x14ac:dyDescent="0.25">
      <c r="A2182" s="6" t="s">
        <v>1056</v>
      </c>
      <c r="B2182" s="6" t="s">
        <v>1057</v>
      </c>
      <c r="D2182" s="4" t="s">
        <v>1058</v>
      </c>
      <c r="E2182" s="37">
        <f>-3228317.23-224000</f>
        <v>-3452317.23</v>
      </c>
      <c r="F2182" s="38" t="s">
        <v>1065</v>
      </c>
      <c r="G2182" s="38"/>
    </row>
    <row r="2183" spans="1:9" x14ac:dyDescent="0.25">
      <c r="A2183" s="6" t="s">
        <v>1056</v>
      </c>
      <c r="B2183" s="6" t="s">
        <v>1057</v>
      </c>
      <c r="D2183" s="4" t="s">
        <v>1058</v>
      </c>
      <c r="E2183" s="5">
        <f>-65000+65000</f>
        <v>0</v>
      </c>
    </row>
    <row r="2184" spans="1:9" x14ac:dyDescent="0.25">
      <c r="A2184" s="6" t="s">
        <v>1056</v>
      </c>
      <c r="B2184" s="6" t="s">
        <v>1057</v>
      </c>
      <c r="D2184" s="4" t="s">
        <v>1058</v>
      </c>
      <c r="E2184" s="5">
        <f>-700000+700000</f>
        <v>0</v>
      </c>
    </row>
    <row r="2185" spans="1:9" x14ac:dyDescent="0.25">
      <c r="A2185" s="6" t="s">
        <v>1056</v>
      </c>
      <c r="B2185" s="6" t="s">
        <v>1057</v>
      </c>
      <c r="D2185" s="4" t="s">
        <v>1058</v>
      </c>
      <c r="E2185" s="5">
        <f>-200000+200000</f>
        <v>0</v>
      </c>
    </row>
    <row r="2186" spans="1:9" x14ac:dyDescent="0.25">
      <c r="A2186" s="6" t="s">
        <v>1056</v>
      </c>
      <c r="B2186" s="6" t="s">
        <v>1057</v>
      </c>
      <c r="D2186" s="4" t="s">
        <v>1058</v>
      </c>
      <c r="E2186" s="5">
        <v>0</v>
      </c>
    </row>
    <row r="2187" spans="1:9" x14ac:dyDescent="0.25">
      <c r="A2187" s="6" t="s">
        <v>1056</v>
      </c>
      <c r="B2187" s="6" t="s">
        <v>1057</v>
      </c>
      <c r="D2187" s="4" t="s">
        <v>1058</v>
      </c>
      <c r="E2187" s="5">
        <f>-650000+650000</f>
        <v>0</v>
      </c>
    </row>
    <row r="2188" spans="1:9" x14ac:dyDescent="0.25">
      <c r="A2188" s="6" t="s">
        <v>1056</v>
      </c>
      <c r="B2188" s="6" t="s">
        <v>1057</v>
      </c>
      <c r="D2188" s="4" t="s">
        <v>1058</v>
      </c>
      <c r="E2188" s="5">
        <v>0</v>
      </c>
      <c r="I2188" s="13"/>
    </row>
    <row r="2189" spans="1:9" x14ac:dyDescent="0.25">
      <c r="A2189" s="6" t="s">
        <v>1056</v>
      </c>
      <c r="B2189" s="11" t="s">
        <v>1066</v>
      </c>
      <c r="D2189" s="4" t="s">
        <v>1058</v>
      </c>
      <c r="E2189" s="37">
        <f>-105629.86+48346.55</f>
        <v>-57283.31</v>
      </c>
      <c r="F2189" s="38" t="s">
        <v>1067</v>
      </c>
      <c r="I2189" s="28">
        <f>SUM(E2175:E2189)</f>
        <v>-13869430.130000001</v>
      </c>
    </row>
    <row r="2190" spans="1:9" x14ac:dyDescent="0.25">
      <c r="A2190" s="6" t="s">
        <v>1056</v>
      </c>
      <c r="B2190" s="6" t="s">
        <v>1068</v>
      </c>
      <c r="D2190" s="4" t="s">
        <v>1069</v>
      </c>
      <c r="E2190" s="15">
        <f>-18180304</f>
        <v>-18180304</v>
      </c>
      <c r="F2190" s="4" t="s">
        <v>1070</v>
      </c>
    </row>
    <row r="2191" spans="1:9" x14ac:dyDescent="0.25">
      <c r="A2191" s="6" t="s">
        <v>1056</v>
      </c>
      <c r="B2191" s="6" t="s">
        <v>1068</v>
      </c>
      <c r="D2191" s="4" t="s">
        <v>1069</v>
      </c>
      <c r="E2191" s="15">
        <v>0</v>
      </c>
      <c r="F2191" s="4" t="s">
        <v>1071</v>
      </c>
    </row>
    <row r="2192" spans="1:9" x14ac:dyDescent="0.25">
      <c r="A2192" s="6" t="s">
        <v>1056</v>
      </c>
      <c r="B2192" s="6" t="s">
        <v>1072</v>
      </c>
      <c r="D2192" s="4" t="s">
        <v>1073</v>
      </c>
      <c r="E2192" s="15">
        <v>0</v>
      </c>
    </row>
    <row r="2193" spans="1:10" x14ac:dyDescent="0.25">
      <c r="A2193" s="6" t="s">
        <v>1056</v>
      </c>
      <c r="B2193" s="6" t="s">
        <v>1074</v>
      </c>
      <c r="D2193" s="4" t="s">
        <v>1075</v>
      </c>
      <c r="E2193" s="15">
        <v>0</v>
      </c>
    </row>
    <row r="2194" spans="1:10" x14ac:dyDescent="0.25">
      <c r="A2194" s="6" t="s">
        <v>1056</v>
      </c>
      <c r="B2194" s="6" t="s">
        <v>1076</v>
      </c>
      <c r="D2194" s="4" t="s">
        <v>1077</v>
      </c>
      <c r="E2194" s="15">
        <f>-1030000-170000-200000</f>
        <v>-1400000</v>
      </c>
      <c r="F2194" s="4" t="s">
        <v>1078</v>
      </c>
      <c r="G2194" s="29"/>
    </row>
    <row r="2195" spans="1:10" x14ac:dyDescent="0.25">
      <c r="A2195" s="6" t="s">
        <v>1056</v>
      </c>
      <c r="B2195" s="6" t="s">
        <v>1079</v>
      </c>
      <c r="D2195" s="4" t="s">
        <v>1080</v>
      </c>
      <c r="E2195" s="15">
        <f>-75000-125000</f>
        <v>-200000</v>
      </c>
      <c r="F2195" s="4" t="s">
        <v>1078</v>
      </c>
      <c r="G2195" s="29"/>
    </row>
    <row r="2196" spans="1:10" x14ac:dyDescent="0.25">
      <c r="A2196" s="6" t="s">
        <v>1056</v>
      </c>
      <c r="B2196" s="6" t="s">
        <v>1081</v>
      </c>
      <c r="D2196" s="4" t="s">
        <v>1082</v>
      </c>
      <c r="E2196" s="15">
        <f>-220000-98000-8000-49000</f>
        <v>-375000</v>
      </c>
      <c r="F2196" s="4" t="s">
        <v>1078</v>
      </c>
    </row>
    <row r="2197" spans="1:10" x14ac:dyDescent="0.25">
      <c r="A2197" s="6" t="s">
        <v>1056</v>
      </c>
      <c r="B2197" s="6" t="s">
        <v>1083</v>
      </c>
      <c r="D2197" s="4" t="s">
        <v>1084</v>
      </c>
      <c r="E2197" s="15">
        <f>-1500+1000+300</f>
        <v>-200</v>
      </c>
      <c r="F2197" s="4" t="s">
        <v>1078</v>
      </c>
    </row>
    <row r="2198" spans="1:10" x14ac:dyDescent="0.25">
      <c r="A2198" s="6" t="s">
        <v>1056</v>
      </c>
      <c r="B2198" s="6" t="s">
        <v>1085</v>
      </c>
      <c r="D2198" s="4" t="s">
        <v>1086</v>
      </c>
      <c r="E2198" s="5">
        <f>-21000+6000+5000</f>
        <v>-10000</v>
      </c>
    </row>
    <row r="2199" spans="1:10" x14ac:dyDescent="0.25">
      <c r="A2199" s="6" t="s">
        <v>1056</v>
      </c>
      <c r="B2199" s="6" t="s">
        <v>1087</v>
      </c>
      <c r="D2199" s="4" t="s">
        <v>1088</v>
      </c>
      <c r="E2199" s="5">
        <v>-425000</v>
      </c>
    </row>
    <row r="2200" spans="1:10" x14ac:dyDescent="0.25">
      <c r="A2200" s="6" t="s">
        <v>1056</v>
      </c>
      <c r="B2200" s="6" t="s">
        <v>1089</v>
      </c>
      <c r="D2200" s="4" t="s">
        <v>1090</v>
      </c>
      <c r="E2200" s="15">
        <f>-15000-6000</f>
        <v>-21000</v>
      </c>
      <c r="F2200" s="4" t="s">
        <v>1078</v>
      </c>
    </row>
    <row r="2201" spans="1:10" x14ac:dyDescent="0.25">
      <c r="A2201" s="6" t="s">
        <v>1091</v>
      </c>
      <c r="B2201" s="6" t="s">
        <v>1092</v>
      </c>
      <c r="D2201" s="4" t="s">
        <v>1093</v>
      </c>
      <c r="E2201" s="5">
        <v>0</v>
      </c>
    </row>
    <row r="2202" spans="1:10" x14ac:dyDescent="0.25">
      <c r="A2202" s="6" t="s">
        <v>1091</v>
      </c>
      <c r="B2202" s="6" t="s">
        <v>1094</v>
      </c>
      <c r="D2202" s="4" t="s">
        <v>1095</v>
      </c>
      <c r="E2202" s="5">
        <v>-15000</v>
      </c>
    </row>
    <row r="2203" spans="1:10" x14ac:dyDescent="0.25">
      <c r="A2203" s="6" t="s">
        <v>1056</v>
      </c>
      <c r="B2203" s="6" t="s">
        <v>1096</v>
      </c>
      <c r="D2203" s="4" t="s">
        <v>1097</v>
      </c>
      <c r="E2203" s="5">
        <v>-15000</v>
      </c>
    </row>
    <row r="2204" spans="1:10" x14ac:dyDescent="0.25">
      <c r="A2204" s="6" t="s">
        <v>1056</v>
      </c>
      <c r="B2204" s="6" t="s">
        <v>1098</v>
      </c>
      <c r="D2204" s="4" t="s">
        <v>1099</v>
      </c>
      <c r="E2204" s="15">
        <f>-8000+5000+1000</f>
        <v>-2000</v>
      </c>
    </row>
    <row r="2205" spans="1:10" x14ac:dyDescent="0.25">
      <c r="A2205" s="6" t="s">
        <v>1056</v>
      </c>
      <c r="B2205" s="6" t="s">
        <v>1100</v>
      </c>
      <c r="D2205" s="4" t="s">
        <v>1101</v>
      </c>
      <c r="E2205" s="5">
        <f>-(14523000*0.95)+1059000+1104921-897623.25</f>
        <v>-12530552.25</v>
      </c>
      <c r="F2205" s="4" t="s">
        <v>1102</v>
      </c>
      <c r="G2205" s="30"/>
      <c r="H2205" s="21"/>
      <c r="I2205" s="21"/>
    </row>
    <row r="2206" spans="1:10" x14ac:dyDescent="0.25">
      <c r="A2206" s="6" t="s">
        <v>1056</v>
      </c>
      <c r="B2206" s="6" t="s">
        <v>1103</v>
      </c>
      <c r="D2206" s="4" t="s">
        <v>1104</v>
      </c>
      <c r="E2206" s="5">
        <v>0</v>
      </c>
      <c r="G2206" s="30"/>
      <c r="H2206" s="30"/>
      <c r="I2206" s="30"/>
    </row>
    <row r="2207" spans="1:10" x14ac:dyDescent="0.25">
      <c r="A2207" s="6" t="s">
        <v>1056</v>
      </c>
      <c r="B2207" s="11" t="s">
        <v>1105</v>
      </c>
      <c r="D2207" s="4" t="s">
        <v>1106</v>
      </c>
      <c r="E2207" s="5">
        <v>-14000</v>
      </c>
      <c r="F2207" s="4" t="s">
        <v>1107</v>
      </c>
      <c r="G2207" s="21" t="s">
        <v>1108</v>
      </c>
      <c r="H2207" s="21"/>
      <c r="I2207" s="21"/>
      <c r="J2207" s="18"/>
    </row>
    <row r="2208" spans="1:10" x14ac:dyDescent="0.25">
      <c r="A2208" s="6" t="s">
        <v>1056</v>
      </c>
      <c r="B2208" s="6" t="s">
        <v>1109</v>
      </c>
      <c r="D2208" s="4" t="s">
        <v>1110</v>
      </c>
      <c r="E2208" s="5">
        <v>-186000</v>
      </c>
      <c r="G2208" s="21" t="s">
        <v>1111</v>
      </c>
      <c r="H2208" s="21"/>
      <c r="I2208" s="21"/>
      <c r="J2208" s="18"/>
    </row>
    <row r="2209" spans="1:9" x14ac:dyDescent="0.25">
      <c r="A2209" s="6" t="s">
        <v>1056</v>
      </c>
      <c r="B2209" s="6" t="s">
        <v>1112</v>
      </c>
      <c r="D2209" s="4" t="s">
        <v>262</v>
      </c>
      <c r="E2209" s="15">
        <f>-11650000-2000000</f>
        <v>-13650000</v>
      </c>
      <c r="F2209" s="4" t="s">
        <v>263</v>
      </c>
      <c r="G2209" s="21" t="s">
        <v>1113</v>
      </c>
      <c r="H2209" s="21"/>
      <c r="I2209" s="30"/>
    </row>
    <row r="2210" spans="1:9" x14ac:dyDescent="0.25">
      <c r="A2210" s="6" t="s">
        <v>1056</v>
      </c>
      <c r="B2210" s="6" t="s">
        <v>1114</v>
      </c>
      <c r="D2210" s="4" t="s">
        <v>1115</v>
      </c>
      <c r="E2210" s="15">
        <f>-16000-4000</f>
        <v>-20000</v>
      </c>
      <c r="F2210" s="4" t="s">
        <v>1078</v>
      </c>
      <c r="G2210" s="31"/>
      <c r="H2210" s="30"/>
      <c r="I2210" s="30"/>
    </row>
    <row r="2211" spans="1:9" x14ac:dyDescent="0.25">
      <c r="A2211" s="6" t="s">
        <v>1056</v>
      </c>
      <c r="B2211" s="6" t="s">
        <v>1116</v>
      </c>
      <c r="D2211" s="4" t="s">
        <v>1117</v>
      </c>
      <c r="E2211" s="5">
        <v>-87000</v>
      </c>
      <c r="G2211" s="30"/>
      <c r="H2211" s="30"/>
      <c r="I2211" s="30"/>
    </row>
    <row r="2212" spans="1:9" x14ac:dyDescent="0.25">
      <c r="A2212" s="6" t="s">
        <v>1056</v>
      </c>
      <c r="B2212" s="6" t="s">
        <v>1118</v>
      </c>
      <c r="D2212" s="4" t="s">
        <v>1119</v>
      </c>
      <c r="E2212" s="15">
        <f>-240000-110000</f>
        <v>-350000</v>
      </c>
      <c r="F2212" s="4" t="s">
        <v>1120</v>
      </c>
      <c r="G2212" s="30"/>
      <c r="H2212" s="30"/>
      <c r="I2212" s="30"/>
    </row>
    <row r="2213" spans="1:9" x14ac:dyDescent="0.25">
      <c r="A2213" s="6" t="s">
        <v>1056</v>
      </c>
      <c r="B2213" s="11" t="s">
        <v>1121</v>
      </c>
      <c r="D2213" s="4" t="s">
        <v>1122</v>
      </c>
      <c r="E2213" s="37">
        <f>-750000+350000</f>
        <v>-400000</v>
      </c>
      <c r="F2213" s="21" t="s">
        <v>1123</v>
      </c>
      <c r="G2213" s="21" t="s">
        <v>1564</v>
      </c>
      <c r="H2213" s="30"/>
      <c r="I2213" s="30"/>
    </row>
    <row r="2214" spans="1:9" x14ac:dyDescent="0.25">
      <c r="A2214" s="6" t="s">
        <v>1056</v>
      </c>
      <c r="B2214" s="11" t="s">
        <v>1124</v>
      </c>
      <c r="D2214" s="4" t="s">
        <v>1122</v>
      </c>
      <c r="E2214" s="5">
        <v>0</v>
      </c>
      <c r="G2214" s="21" t="s">
        <v>1565</v>
      </c>
      <c r="H2214" s="30"/>
      <c r="I2214" s="30"/>
    </row>
    <row r="2215" spans="1:9" x14ac:dyDescent="0.25">
      <c r="A2215" s="6" t="s">
        <v>1056</v>
      </c>
      <c r="B2215" s="11" t="s">
        <v>1124</v>
      </c>
      <c r="D2215" s="4" t="s">
        <v>1122</v>
      </c>
      <c r="E2215" s="5">
        <f>-15000-20000-166500+6500-10000-45000-145356.87</f>
        <v>-395356.87</v>
      </c>
      <c r="F2215" s="4" t="s">
        <v>1563</v>
      </c>
      <c r="G2215" s="4" t="s">
        <v>1125</v>
      </c>
    </row>
    <row r="2216" spans="1:9" x14ac:dyDescent="0.25">
      <c r="A2216" s="6" t="s">
        <v>1056</v>
      </c>
      <c r="B2216" s="11" t="s">
        <v>1126</v>
      </c>
      <c r="C2216" s="4" t="s">
        <v>1127</v>
      </c>
      <c r="D2216" s="4" t="s">
        <v>1128</v>
      </c>
      <c r="E2216" s="5">
        <v>0</v>
      </c>
      <c r="F2216" s="4" t="s">
        <v>1129</v>
      </c>
    </row>
    <row r="2217" spans="1:9" x14ac:dyDescent="0.25">
      <c r="A2217" s="6" t="s">
        <v>1056</v>
      </c>
      <c r="B2217" s="6" t="s">
        <v>1130</v>
      </c>
      <c r="D2217" s="4" t="s">
        <v>1131</v>
      </c>
      <c r="E2217" s="5">
        <v>-2000</v>
      </c>
    </row>
    <row r="2218" spans="1:9" x14ac:dyDescent="0.25">
      <c r="A2218" s="6" t="s">
        <v>1056</v>
      </c>
      <c r="B2218" s="6" t="s">
        <v>1130</v>
      </c>
      <c r="D2218" s="4" t="s">
        <v>1131</v>
      </c>
      <c r="E2218" s="5">
        <v>0</v>
      </c>
    </row>
    <row r="2219" spans="1:9" x14ac:dyDescent="0.25">
      <c r="A2219" s="6" t="s">
        <v>1056</v>
      </c>
      <c r="B2219" s="6" t="s">
        <v>1132</v>
      </c>
      <c r="D2219" s="4" t="s">
        <v>1133</v>
      </c>
      <c r="E2219" s="15">
        <f>-500+500</f>
        <v>0</v>
      </c>
      <c r="I2219" s="13">
        <f>SUM(E2190:E2220)</f>
        <v>-48278413.119999997</v>
      </c>
    </row>
    <row r="2221" spans="1:9" x14ac:dyDescent="0.25">
      <c r="A2221" s="6" t="s">
        <v>1134</v>
      </c>
      <c r="B2221" s="6" t="s">
        <v>4</v>
      </c>
      <c r="C2221" s="6" t="s">
        <v>4</v>
      </c>
      <c r="D2221" s="4" t="s">
        <v>4</v>
      </c>
      <c r="E2221" s="5">
        <f>SUM(E2174:E2219)</f>
        <v>-62147843.25</v>
      </c>
      <c r="F2221" s="13"/>
    </row>
    <row r="2222" spans="1:9" hidden="1" x14ac:dyDescent="0.25"/>
    <row r="2223" spans="1:9" hidden="1" x14ac:dyDescent="0.25">
      <c r="A2223" s="6" t="s">
        <v>1135</v>
      </c>
    </row>
    <row r="2224" spans="1:9" hidden="1" x14ac:dyDescent="0.25">
      <c r="A2224" s="6" t="s">
        <v>12</v>
      </c>
    </row>
    <row r="2225" spans="1:5" hidden="1" x14ac:dyDescent="0.25">
      <c r="A2225" s="6" t="s">
        <v>1136</v>
      </c>
      <c r="B2225" s="6" t="s">
        <v>14</v>
      </c>
      <c r="D2225" s="4" t="s">
        <v>15</v>
      </c>
      <c r="E2225" s="5">
        <v>0</v>
      </c>
    </row>
    <row r="2226" spans="1:5" hidden="1" x14ac:dyDescent="0.25">
      <c r="A2226" s="6" t="s">
        <v>1136</v>
      </c>
      <c r="B2226" s="6" t="s">
        <v>17</v>
      </c>
      <c r="D2226" s="4" t="s">
        <v>18</v>
      </c>
      <c r="E2226" s="5">
        <f>E2225*B3801</f>
        <v>0</v>
      </c>
    </row>
    <row r="2227" spans="1:5" hidden="1" x14ac:dyDescent="0.25">
      <c r="A2227" s="6" t="s">
        <v>1136</v>
      </c>
      <c r="B2227" s="6" t="s">
        <v>19</v>
      </c>
      <c r="D2227" s="4" t="s">
        <v>20</v>
      </c>
      <c r="E2227" s="5">
        <f>E2225*B3802</f>
        <v>0</v>
      </c>
    </row>
    <row r="2228" spans="1:5" hidden="1" x14ac:dyDescent="0.25">
      <c r="A2228" s="6" t="s">
        <v>1136</v>
      </c>
      <c r="B2228" s="6" t="s">
        <v>21</v>
      </c>
      <c r="D2228" s="4" t="s">
        <v>22</v>
      </c>
      <c r="E2228" s="5">
        <f>E2225*B3803</f>
        <v>0</v>
      </c>
    </row>
    <row r="2229" spans="1:5" hidden="1" x14ac:dyDescent="0.25"/>
    <row r="2230" spans="1:5" hidden="1" x14ac:dyDescent="0.25">
      <c r="A2230" s="6" t="s">
        <v>1137</v>
      </c>
      <c r="B2230" s="6" t="s">
        <v>4</v>
      </c>
      <c r="C2230" s="6" t="s">
        <v>4</v>
      </c>
      <c r="D2230" s="4" t="s">
        <v>4</v>
      </c>
      <c r="E2230" s="5">
        <f>SUM(E2225:E2228)</f>
        <v>0</v>
      </c>
    </row>
    <row r="2231" spans="1:5" hidden="1" x14ac:dyDescent="0.25"/>
    <row r="2232" spans="1:5" hidden="1" x14ac:dyDescent="0.25">
      <c r="A2232" s="6" t="s">
        <v>1138</v>
      </c>
    </row>
    <row r="2233" spans="1:5" hidden="1" x14ac:dyDescent="0.25">
      <c r="A2233" s="6" t="s">
        <v>12</v>
      </c>
    </row>
    <row r="2234" spans="1:5" hidden="1" x14ac:dyDescent="0.25">
      <c r="A2234" s="6" t="s">
        <v>1139</v>
      </c>
      <c r="B2234" s="6" t="s">
        <v>46</v>
      </c>
      <c r="D2234" s="4" t="s">
        <v>47</v>
      </c>
      <c r="E2234" s="5">
        <v>0</v>
      </c>
    </row>
    <row r="2235" spans="1:5" hidden="1" x14ac:dyDescent="0.25">
      <c r="A2235" s="6" t="s">
        <v>1139</v>
      </c>
      <c r="B2235" s="6" t="s">
        <v>192</v>
      </c>
      <c r="D2235" s="4" t="s">
        <v>546</v>
      </c>
      <c r="E2235" s="5">
        <v>0</v>
      </c>
    </row>
    <row r="2236" spans="1:5" hidden="1" x14ac:dyDescent="0.25"/>
    <row r="2237" spans="1:5" hidden="1" x14ac:dyDescent="0.25">
      <c r="A2237" s="6" t="s">
        <v>1140</v>
      </c>
      <c r="B2237" s="6" t="s">
        <v>4</v>
      </c>
      <c r="C2237" s="6" t="s">
        <v>4</v>
      </c>
      <c r="D2237" s="4" t="s">
        <v>4</v>
      </c>
      <c r="E2237" s="5">
        <f>E2234+E2235</f>
        <v>0</v>
      </c>
    </row>
    <row r="2238" spans="1:5" hidden="1" x14ac:dyDescent="0.25"/>
    <row r="2239" spans="1:5" hidden="1" x14ac:dyDescent="0.25">
      <c r="A2239" s="6" t="s">
        <v>1141</v>
      </c>
    </row>
    <row r="2240" spans="1:5" hidden="1" x14ac:dyDescent="0.25">
      <c r="A2240" s="6" t="s">
        <v>12</v>
      </c>
    </row>
    <row r="2241" spans="1:5" hidden="1" x14ac:dyDescent="0.25">
      <c r="A2241" s="6" t="s">
        <v>1142</v>
      </c>
      <c r="B2241" s="6" t="s">
        <v>53</v>
      </c>
      <c r="D2241" s="4" t="s">
        <v>54</v>
      </c>
      <c r="E2241" s="5">
        <v>0</v>
      </c>
    </row>
    <row r="2242" spans="1:5" hidden="1" x14ac:dyDescent="0.25">
      <c r="A2242" s="6" t="s">
        <v>1142</v>
      </c>
      <c r="B2242" s="11" t="s">
        <v>19</v>
      </c>
      <c r="D2242" s="4" t="s">
        <v>20</v>
      </c>
      <c r="E2242" s="5">
        <f>E2241*B3798</f>
        <v>0</v>
      </c>
    </row>
    <row r="2243" spans="1:5" hidden="1" x14ac:dyDescent="0.25">
      <c r="A2243" s="6" t="s">
        <v>1142</v>
      </c>
      <c r="B2243" s="11" t="s">
        <v>40</v>
      </c>
      <c r="D2243" s="4" t="s">
        <v>60</v>
      </c>
      <c r="E2243" s="5">
        <f>E2241*B3799</f>
        <v>0</v>
      </c>
    </row>
    <row r="2244" spans="1:5" hidden="1" x14ac:dyDescent="0.25">
      <c r="A2244" s="6" t="s">
        <v>1142</v>
      </c>
      <c r="B2244" s="11" t="s">
        <v>884</v>
      </c>
      <c r="D2244" s="4" t="s">
        <v>45</v>
      </c>
      <c r="E2244" s="5">
        <f>6000-6000</f>
        <v>0</v>
      </c>
    </row>
    <row r="2245" spans="1:5" hidden="1" x14ac:dyDescent="0.25">
      <c r="A2245" s="6" t="s">
        <v>1142</v>
      </c>
      <c r="B2245" s="6" t="s">
        <v>46</v>
      </c>
      <c r="D2245" s="4" t="s">
        <v>47</v>
      </c>
      <c r="E2245" s="5">
        <v>0</v>
      </c>
    </row>
    <row r="2246" spans="1:5" hidden="1" x14ac:dyDescent="0.25"/>
    <row r="2247" spans="1:5" hidden="1" x14ac:dyDescent="0.25">
      <c r="A2247" s="6" t="s">
        <v>1143</v>
      </c>
      <c r="B2247" s="6" t="s">
        <v>4</v>
      </c>
      <c r="C2247" s="6" t="s">
        <v>4</v>
      </c>
      <c r="D2247" s="4" t="s">
        <v>4</v>
      </c>
      <c r="E2247" s="5">
        <f>SUM(E2241:E2245)</f>
        <v>0</v>
      </c>
    </row>
    <row r="2249" spans="1:5" x14ac:dyDescent="0.25">
      <c r="A2249" s="6" t="s">
        <v>1144</v>
      </c>
    </row>
    <row r="2250" spans="1:5" x14ac:dyDescent="0.25">
      <c r="A2250" s="6" t="s">
        <v>12</v>
      </c>
    </row>
    <row r="2251" spans="1:5" x14ac:dyDescent="0.25">
      <c r="A2251" s="11" t="s">
        <v>1145</v>
      </c>
      <c r="B2251" s="6" t="s">
        <v>53</v>
      </c>
      <c r="D2251" s="4" t="s">
        <v>54</v>
      </c>
      <c r="E2251" s="5">
        <v>66218</v>
      </c>
    </row>
    <row r="2252" spans="1:5" x14ac:dyDescent="0.25">
      <c r="A2252" s="11" t="s">
        <v>1145</v>
      </c>
      <c r="B2252" s="11" t="s">
        <v>245</v>
      </c>
      <c r="D2252" s="4" t="s">
        <v>707</v>
      </c>
      <c r="E2252" s="5">
        <v>2000</v>
      </c>
    </row>
    <row r="2253" spans="1:5" x14ac:dyDescent="0.25">
      <c r="A2253" s="11" t="s">
        <v>1145</v>
      </c>
      <c r="B2253" s="11" t="s">
        <v>14</v>
      </c>
      <c r="D2253" s="4" t="s">
        <v>15</v>
      </c>
      <c r="E2253" s="5">
        <v>56057</v>
      </c>
    </row>
    <row r="2254" spans="1:5" x14ac:dyDescent="0.25">
      <c r="A2254" s="11" t="s">
        <v>1145</v>
      </c>
      <c r="B2254" s="11" t="s">
        <v>17</v>
      </c>
      <c r="D2254" s="4" t="s">
        <v>18</v>
      </c>
      <c r="E2254" s="5">
        <f>E2253*B3801</f>
        <v>3475.5340000000001</v>
      </c>
    </row>
    <row r="2255" spans="1:5" x14ac:dyDescent="0.25">
      <c r="A2255" s="11" t="s">
        <v>1145</v>
      </c>
      <c r="B2255" s="6" t="s">
        <v>19</v>
      </c>
      <c r="D2255" s="4" t="s">
        <v>20</v>
      </c>
      <c r="E2255" s="5">
        <f>(E2251+E2252+E2253)*B3802</f>
        <v>1801.9875000000002</v>
      </c>
    </row>
    <row r="2256" spans="1:5" x14ac:dyDescent="0.25">
      <c r="A2256" s="11" t="s">
        <v>1145</v>
      </c>
      <c r="B2256" s="11" t="s">
        <v>40</v>
      </c>
      <c r="D2256" s="4" t="s">
        <v>60</v>
      </c>
      <c r="E2256" s="5">
        <f>(E2251+E2252)*B3799</f>
        <v>2046.54</v>
      </c>
    </row>
    <row r="2257" spans="1:6" x14ac:dyDescent="0.25">
      <c r="A2257" s="11" t="s">
        <v>1145</v>
      </c>
      <c r="B2257" s="11" t="s">
        <v>21</v>
      </c>
      <c r="D2257" s="4" t="s">
        <v>22</v>
      </c>
      <c r="E2257" s="5">
        <f>E2253*B3803</f>
        <v>13083.703799999999</v>
      </c>
    </row>
    <row r="2258" spans="1:6" x14ac:dyDescent="0.25">
      <c r="A2258" s="11"/>
      <c r="B2258" s="11"/>
    </row>
    <row r="2259" spans="1:6" x14ac:dyDescent="0.25">
      <c r="A2259" s="6" t="s">
        <v>394</v>
      </c>
      <c r="B2259" s="11"/>
      <c r="E2259" s="5">
        <f>SUM(E2251:E2257)</f>
        <v>144682.7653</v>
      </c>
    </row>
    <row r="2260" spans="1:6" x14ac:dyDescent="0.25">
      <c r="A2260" s="6"/>
      <c r="B2260" s="11"/>
    </row>
    <row r="2261" spans="1:6" x14ac:dyDescent="0.25">
      <c r="A2261" s="40" t="s">
        <v>1573</v>
      </c>
      <c r="B2261" s="38"/>
      <c r="C2261" s="38"/>
      <c r="D2261" s="38"/>
      <c r="E2261" s="37"/>
    </row>
    <row r="2262" spans="1:6" x14ac:dyDescent="0.25">
      <c r="A2262" s="40" t="s">
        <v>12</v>
      </c>
      <c r="B2262" s="38"/>
      <c r="C2262" s="38"/>
      <c r="D2262" s="38"/>
      <c r="E2262" s="37"/>
      <c r="F2262" s="4" t="s">
        <v>1579</v>
      </c>
    </row>
    <row r="2263" spans="1:6" x14ac:dyDescent="0.25">
      <c r="A2263" s="41" t="s">
        <v>1182</v>
      </c>
      <c r="B2263" s="40" t="s">
        <v>53</v>
      </c>
      <c r="C2263" s="38"/>
      <c r="D2263" s="38" t="s">
        <v>54</v>
      </c>
      <c r="E2263" s="37">
        <v>0</v>
      </c>
    </row>
    <row r="2264" spans="1:6" x14ac:dyDescent="0.25">
      <c r="A2264" s="41" t="s">
        <v>1182</v>
      </c>
      <c r="B2264" s="40" t="s">
        <v>19</v>
      </c>
      <c r="C2264" s="38"/>
      <c r="D2264" s="38" t="s">
        <v>20</v>
      </c>
      <c r="E2264" s="37">
        <f>E2263*B3802</f>
        <v>0</v>
      </c>
    </row>
    <row r="2265" spans="1:6" x14ac:dyDescent="0.25">
      <c r="A2265" s="41" t="s">
        <v>1182</v>
      </c>
      <c r="B2265" s="41" t="s">
        <v>40</v>
      </c>
      <c r="C2265" s="38"/>
      <c r="D2265" s="38" t="s">
        <v>60</v>
      </c>
      <c r="E2265" s="37">
        <f>E2263*B3799</f>
        <v>0</v>
      </c>
    </row>
    <row r="2266" spans="1:6" x14ac:dyDescent="0.25">
      <c r="A2266" s="41"/>
      <c r="B2266" s="41"/>
      <c r="C2266" s="38"/>
      <c r="D2266" s="38"/>
      <c r="E2266" s="37"/>
    </row>
    <row r="2267" spans="1:6" x14ac:dyDescent="0.25">
      <c r="A2267" s="40" t="s">
        <v>394</v>
      </c>
      <c r="B2267" s="41"/>
      <c r="C2267" s="38"/>
      <c r="D2267" s="38"/>
      <c r="E2267" s="37">
        <f>SUM(E2263:E2265)</f>
        <v>0</v>
      </c>
    </row>
    <row r="2268" spans="1:6" x14ac:dyDescent="0.25">
      <c r="A2268" s="6"/>
      <c r="B2268" s="11"/>
    </row>
    <row r="2269" spans="1:6" x14ac:dyDescent="0.25">
      <c r="A2269" s="6" t="s">
        <v>1146</v>
      </c>
    </row>
    <row r="2270" spans="1:6" x14ac:dyDescent="0.25">
      <c r="A2270" s="6" t="s">
        <v>12</v>
      </c>
    </row>
    <row r="2271" spans="1:6" x14ac:dyDescent="0.25">
      <c r="A2271" s="11" t="s">
        <v>1142</v>
      </c>
      <c r="B2271" s="6" t="s">
        <v>53</v>
      </c>
      <c r="D2271" s="4" t="s">
        <v>54</v>
      </c>
      <c r="E2271" s="5">
        <v>64331</v>
      </c>
    </row>
    <row r="2272" spans="1:6" x14ac:dyDescent="0.25">
      <c r="A2272" s="11" t="s">
        <v>1142</v>
      </c>
      <c r="B2272" s="6" t="s">
        <v>19</v>
      </c>
      <c r="D2272" s="4" t="s">
        <v>20</v>
      </c>
      <c r="E2272" s="5">
        <f>E2271*B3802</f>
        <v>932.79950000000008</v>
      </c>
    </row>
    <row r="2273" spans="1:6" x14ac:dyDescent="0.25">
      <c r="A2273" s="11" t="s">
        <v>1142</v>
      </c>
      <c r="B2273" s="11" t="s">
        <v>40</v>
      </c>
      <c r="D2273" s="4" t="s">
        <v>60</v>
      </c>
      <c r="E2273" s="5">
        <f>E2271*B3799</f>
        <v>1929.9299999999998</v>
      </c>
    </row>
    <row r="2274" spans="1:6" x14ac:dyDescent="0.25">
      <c r="A2274" s="11"/>
      <c r="B2274" s="11"/>
    </row>
    <row r="2275" spans="1:6" x14ac:dyDescent="0.25">
      <c r="A2275" s="6" t="s">
        <v>394</v>
      </c>
      <c r="B2275" s="11"/>
      <c r="E2275" s="5">
        <f>SUM(E2271:E2273)</f>
        <v>67193.729500000001</v>
      </c>
    </row>
    <row r="2276" spans="1:6" x14ac:dyDescent="0.25">
      <c r="A2276" s="11"/>
      <c r="B2276" s="11"/>
    </row>
    <row r="2277" spans="1:6" x14ac:dyDescent="0.25">
      <c r="A2277" s="6" t="s">
        <v>1147</v>
      </c>
    </row>
    <row r="2278" spans="1:6" x14ac:dyDescent="0.25">
      <c r="A2278" s="6" t="s">
        <v>12</v>
      </c>
    </row>
    <row r="2279" spans="1:6" x14ac:dyDescent="0.25">
      <c r="A2279" s="11" t="s">
        <v>1148</v>
      </c>
      <c r="B2279" s="11" t="s">
        <v>14</v>
      </c>
      <c r="D2279" s="4" t="s">
        <v>15</v>
      </c>
      <c r="E2279" s="5">
        <v>39731</v>
      </c>
    </row>
    <row r="2280" spans="1:6" x14ac:dyDescent="0.25">
      <c r="A2280" s="11" t="s">
        <v>1148</v>
      </c>
      <c r="B2280" s="11" t="s">
        <v>25</v>
      </c>
      <c r="D2280" s="4" t="s">
        <v>58</v>
      </c>
      <c r="E2280" s="5">
        <f>225*2</f>
        <v>450</v>
      </c>
    </row>
    <row r="2281" spans="1:6" x14ac:dyDescent="0.25">
      <c r="A2281" s="11" t="s">
        <v>1148</v>
      </c>
      <c r="B2281" s="11" t="s">
        <v>17</v>
      </c>
      <c r="D2281" s="4" t="s">
        <v>18</v>
      </c>
      <c r="E2281" s="5">
        <f>(E2279+E2280)*B3801</f>
        <v>2491.2220000000002</v>
      </c>
    </row>
    <row r="2282" spans="1:6" x14ac:dyDescent="0.25">
      <c r="A2282" s="11" t="s">
        <v>1148</v>
      </c>
      <c r="B2282" s="11" t="s">
        <v>19</v>
      </c>
      <c r="D2282" s="4" t="s">
        <v>20</v>
      </c>
      <c r="E2282" s="5">
        <f>(E2279+E2280)*B3802</f>
        <v>582.62450000000001</v>
      </c>
    </row>
    <row r="2283" spans="1:6" x14ac:dyDescent="0.25">
      <c r="A2283" s="11" t="s">
        <v>1148</v>
      </c>
      <c r="B2283" s="11" t="s">
        <v>21</v>
      </c>
      <c r="D2283" s="4" t="s">
        <v>22</v>
      </c>
      <c r="E2283" s="5">
        <f>(E2279+E2280)*B3803</f>
        <v>9378.2453999999998</v>
      </c>
    </row>
    <row r="2285" spans="1:6" x14ac:dyDescent="0.25">
      <c r="A2285" s="6" t="s">
        <v>1149</v>
      </c>
      <c r="E2285" s="5">
        <f>SUM(E2279:E2283)</f>
        <v>52633.091899999999</v>
      </c>
    </row>
    <row r="2286" spans="1:6" x14ac:dyDescent="0.25">
      <c r="A2286" s="6"/>
    </row>
    <row r="2287" spans="1:6" x14ac:dyDescent="0.25">
      <c r="A2287" s="11" t="s">
        <v>1150</v>
      </c>
      <c r="B2287" s="12" t="s">
        <v>53</v>
      </c>
      <c r="D2287" s="4" t="s">
        <v>54</v>
      </c>
      <c r="E2287" s="5">
        <v>0</v>
      </c>
    </row>
    <row r="2288" spans="1:6" x14ac:dyDescent="0.25">
      <c r="A2288" s="11" t="s">
        <v>1150</v>
      </c>
      <c r="B2288" s="12" t="s">
        <v>14</v>
      </c>
      <c r="D2288" s="4" t="s">
        <v>15</v>
      </c>
      <c r="E2288" s="5">
        <v>29914</v>
      </c>
      <c r="F2288" s="4" t="s">
        <v>1151</v>
      </c>
    </row>
    <row r="2289" spans="1:5" x14ac:dyDescent="0.25">
      <c r="A2289" s="11" t="s">
        <v>1150</v>
      </c>
      <c r="B2289" s="12" t="s">
        <v>19</v>
      </c>
      <c r="D2289" s="4" t="s">
        <v>20</v>
      </c>
      <c r="E2289" s="5">
        <f>(E2287+E2288)*B3798</f>
        <v>433.75300000000004</v>
      </c>
    </row>
    <row r="2290" spans="1:5" x14ac:dyDescent="0.25">
      <c r="A2290" s="11" t="s">
        <v>1150</v>
      </c>
      <c r="B2290" s="12" t="s">
        <v>40</v>
      </c>
      <c r="D2290" s="4" t="s">
        <v>60</v>
      </c>
      <c r="E2290" s="5">
        <f>(E2287+E2288)*B3799</f>
        <v>897.42</v>
      </c>
    </row>
    <row r="2291" spans="1:5" x14ac:dyDescent="0.25">
      <c r="A2291" s="11"/>
    </row>
    <row r="2292" spans="1:5" x14ac:dyDescent="0.25">
      <c r="A2292" s="6" t="s">
        <v>394</v>
      </c>
      <c r="E2292" s="5">
        <f>SUM(E2287:E2290)</f>
        <v>31245.172999999999</v>
      </c>
    </row>
    <row r="2293" spans="1:5" x14ac:dyDescent="0.25">
      <c r="A2293" s="6"/>
    </row>
    <row r="2294" spans="1:5" x14ac:dyDescent="0.25">
      <c r="A2294" s="6" t="s">
        <v>1152</v>
      </c>
    </row>
    <row r="2295" spans="1:5" x14ac:dyDescent="0.25">
      <c r="A2295" s="6"/>
    </row>
    <row r="2296" spans="1:5" x14ac:dyDescent="0.25">
      <c r="A2296" s="11" t="s">
        <v>1153</v>
      </c>
      <c r="B2296" s="12" t="s">
        <v>53</v>
      </c>
      <c r="D2296" s="4" t="s">
        <v>54</v>
      </c>
      <c r="E2296" s="5">
        <v>14444</v>
      </c>
    </row>
    <row r="2297" spans="1:5" x14ac:dyDescent="0.25">
      <c r="A2297" s="11" t="s">
        <v>1153</v>
      </c>
      <c r="B2297" s="12" t="s">
        <v>19</v>
      </c>
      <c r="D2297" s="4" t="s">
        <v>20</v>
      </c>
      <c r="E2297" s="5">
        <f>E2296*B3798</f>
        <v>209.43800000000002</v>
      </c>
    </row>
    <row r="2298" spans="1:5" x14ac:dyDescent="0.25">
      <c r="A2298" s="11" t="s">
        <v>1153</v>
      </c>
      <c r="B2298" s="12" t="s">
        <v>40</v>
      </c>
      <c r="D2298" s="4" t="s">
        <v>60</v>
      </c>
      <c r="E2298" s="5">
        <f>E2296*B3799</f>
        <v>433.32</v>
      </c>
    </row>
    <row r="2299" spans="1:5" x14ac:dyDescent="0.25">
      <c r="A2299" s="11"/>
    </row>
    <row r="2300" spans="1:5" x14ac:dyDescent="0.25">
      <c r="A2300" s="6" t="s">
        <v>394</v>
      </c>
      <c r="E2300" s="5">
        <f>SUM(E2296:E2298)</f>
        <v>15086.758</v>
      </c>
    </row>
    <row r="2301" spans="1:5" x14ac:dyDescent="0.25">
      <c r="A2301" s="6"/>
    </row>
    <row r="2302" spans="1:5" hidden="1" x14ac:dyDescent="0.25">
      <c r="A2302" s="6" t="s">
        <v>1154</v>
      </c>
    </row>
    <row r="2303" spans="1:5" hidden="1" x14ac:dyDescent="0.25">
      <c r="A2303" s="6" t="s">
        <v>12</v>
      </c>
    </row>
    <row r="2304" spans="1:5" hidden="1" x14ac:dyDescent="0.25">
      <c r="A2304" s="6" t="s">
        <v>1153</v>
      </c>
      <c r="B2304" s="6" t="s">
        <v>53</v>
      </c>
      <c r="D2304" s="4" t="s">
        <v>54</v>
      </c>
      <c r="E2304" s="5">
        <v>0</v>
      </c>
    </row>
    <row r="2305" spans="1:5" hidden="1" x14ac:dyDescent="0.25">
      <c r="A2305" s="6" t="s">
        <v>1153</v>
      </c>
      <c r="B2305" s="6" t="s">
        <v>19</v>
      </c>
      <c r="D2305" s="4" t="s">
        <v>20</v>
      </c>
      <c r="E2305" s="5">
        <f>E2304*B3798</f>
        <v>0</v>
      </c>
    </row>
    <row r="2306" spans="1:5" hidden="1" x14ac:dyDescent="0.25">
      <c r="A2306" s="6" t="s">
        <v>1153</v>
      </c>
      <c r="B2306" s="11" t="s">
        <v>40</v>
      </c>
      <c r="D2306" s="4" t="s">
        <v>60</v>
      </c>
      <c r="E2306" s="5">
        <f>E2304*B3799</f>
        <v>0</v>
      </c>
    </row>
    <row r="2307" spans="1:5" hidden="1" x14ac:dyDescent="0.25">
      <c r="A2307" s="6" t="s">
        <v>1153</v>
      </c>
      <c r="B2307" s="6" t="s">
        <v>46</v>
      </c>
      <c r="D2307" s="4" t="s">
        <v>47</v>
      </c>
      <c r="E2307" s="5">
        <v>0</v>
      </c>
    </row>
    <row r="2308" spans="1:5" hidden="1" x14ac:dyDescent="0.25">
      <c r="A2308" s="6" t="s">
        <v>1153</v>
      </c>
      <c r="B2308" s="6" t="s">
        <v>690</v>
      </c>
      <c r="D2308" s="4" t="s">
        <v>691</v>
      </c>
      <c r="E2308" s="5">
        <v>0</v>
      </c>
    </row>
    <row r="2309" spans="1:5" hidden="1" x14ac:dyDescent="0.25">
      <c r="A2309" s="6" t="s">
        <v>1153</v>
      </c>
      <c r="B2309" s="6" t="s">
        <v>498</v>
      </c>
      <c r="D2309" s="4" t="s">
        <v>499</v>
      </c>
      <c r="E2309" s="5">
        <v>0</v>
      </c>
    </row>
    <row r="2310" spans="1:5" hidden="1" x14ac:dyDescent="0.25">
      <c r="A2310" s="6" t="s">
        <v>1153</v>
      </c>
      <c r="B2310" s="6" t="s">
        <v>1155</v>
      </c>
      <c r="D2310" s="4" t="s">
        <v>1156</v>
      </c>
      <c r="E2310" s="5">
        <v>0</v>
      </c>
    </row>
    <row r="2311" spans="1:5" hidden="1" x14ac:dyDescent="0.25">
      <c r="A2311" s="6" t="s">
        <v>1153</v>
      </c>
      <c r="B2311" s="6" t="s">
        <v>74</v>
      </c>
      <c r="D2311" s="4" t="s">
        <v>773</v>
      </c>
      <c r="E2311" s="5">
        <v>0</v>
      </c>
    </row>
    <row r="2312" spans="1:5" hidden="1" x14ac:dyDescent="0.25">
      <c r="A2312" s="6" t="s">
        <v>1153</v>
      </c>
      <c r="B2312" s="6" t="s">
        <v>78</v>
      </c>
      <c r="D2312" s="4" t="s">
        <v>570</v>
      </c>
      <c r="E2312" s="5">
        <v>0</v>
      </c>
    </row>
    <row r="2313" spans="1:5" hidden="1" x14ac:dyDescent="0.25"/>
    <row r="2314" spans="1:5" hidden="1" x14ac:dyDescent="0.25">
      <c r="A2314" s="6" t="s">
        <v>1157</v>
      </c>
      <c r="B2314" s="6" t="s">
        <v>4</v>
      </c>
      <c r="C2314" s="6" t="s">
        <v>4</v>
      </c>
      <c r="D2314" s="4" t="s">
        <v>4</v>
      </c>
      <c r="E2314" s="5">
        <f>SUM(E2304:E2312)</f>
        <v>0</v>
      </c>
    </row>
    <row r="2315" spans="1:5" hidden="1" x14ac:dyDescent="0.25"/>
    <row r="2316" spans="1:5" x14ac:dyDescent="0.25">
      <c r="A2316" s="6" t="s">
        <v>1158</v>
      </c>
    </row>
    <row r="2317" spans="1:5" x14ac:dyDescent="0.25">
      <c r="A2317" s="6" t="s">
        <v>12</v>
      </c>
    </row>
    <row r="2318" spans="1:5" x14ac:dyDescent="0.25">
      <c r="A2318" s="6" t="s">
        <v>1159</v>
      </c>
      <c r="B2318" s="6" t="s">
        <v>53</v>
      </c>
      <c r="D2318" s="4" t="s">
        <v>54</v>
      </c>
      <c r="E2318" s="5">
        <v>136523</v>
      </c>
    </row>
    <row r="2319" spans="1:5" x14ac:dyDescent="0.25">
      <c r="A2319" s="6" t="s">
        <v>1159</v>
      </c>
      <c r="B2319" s="11" t="s">
        <v>1160</v>
      </c>
      <c r="D2319" s="4" t="s">
        <v>105</v>
      </c>
    </row>
    <row r="2320" spans="1:5" x14ac:dyDescent="0.25">
      <c r="A2320" s="6" t="s">
        <v>1159</v>
      </c>
      <c r="B2320" s="6" t="s">
        <v>14</v>
      </c>
      <c r="D2320" s="4" t="s">
        <v>15</v>
      </c>
      <c r="E2320" s="5">
        <v>35210</v>
      </c>
    </row>
    <row r="2321" spans="1:5" x14ac:dyDescent="0.25">
      <c r="A2321" s="6" t="s">
        <v>1159</v>
      </c>
      <c r="B2321" s="6" t="s">
        <v>17</v>
      </c>
      <c r="D2321" s="4" t="s">
        <v>18</v>
      </c>
      <c r="E2321" s="5">
        <f>E2320*B3801</f>
        <v>2183.02</v>
      </c>
    </row>
    <row r="2322" spans="1:5" x14ac:dyDescent="0.25">
      <c r="A2322" s="6" t="s">
        <v>1159</v>
      </c>
      <c r="B2322" s="6" t="s">
        <v>19</v>
      </c>
      <c r="D2322" s="4" t="s">
        <v>20</v>
      </c>
      <c r="E2322" s="5">
        <f>SUM(E2318:E2320)*B3802-72.5</f>
        <v>2417.6285000000003</v>
      </c>
    </row>
    <row r="2323" spans="1:5" x14ac:dyDescent="0.25">
      <c r="A2323" s="6" t="s">
        <v>1159</v>
      </c>
      <c r="B2323" s="6" t="s">
        <v>40</v>
      </c>
      <c r="D2323" s="4" t="s">
        <v>60</v>
      </c>
      <c r="E2323" s="5">
        <f>(E2318+E2319)*B3799</f>
        <v>4095.69</v>
      </c>
    </row>
    <row r="2324" spans="1:5" x14ac:dyDescent="0.25">
      <c r="A2324" s="6" t="s">
        <v>1159</v>
      </c>
      <c r="B2324" s="6" t="s">
        <v>21</v>
      </c>
      <c r="D2324" s="4" t="s">
        <v>22</v>
      </c>
      <c r="E2324" s="5">
        <f>E2320*B3803</f>
        <v>8218.0139999999992</v>
      </c>
    </row>
    <row r="2325" spans="1:5" x14ac:dyDescent="0.25">
      <c r="A2325" s="6" t="s">
        <v>1159</v>
      </c>
      <c r="B2325" s="6" t="s">
        <v>88</v>
      </c>
      <c r="D2325" s="4" t="s">
        <v>523</v>
      </c>
      <c r="E2325" s="5">
        <v>0</v>
      </c>
    </row>
    <row r="2326" spans="1:5" x14ac:dyDescent="0.25">
      <c r="A2326" s="6" t="s">
        <v>1159</v>
      </c>
      <c r="B2326" s="6" t="s">
        <v>472</v>
      </c>
      <c r="D2326" s="4" t="s">
        <v>473</v>
      </c>
    </row>
    <row r="2327" spans="1:5" x14ac:dyDescent="0.25">
      <c r="A2327" s="6" t="s">
        <v>1159</v>
      </c>
      <c r="B2327" s="6" t="s">
        <v>46</v>
      </c>
      <c r="D2327" s="4" t="s">
        <v>47</v>
      </c>
      <c r="E2327" s="5">
        <v>0</v>
      </c>
    </row>
    <row r="2328" spans="1:5" x14ac:dyDescent="0.25">
      <c r="A2328" s="6" t="s">
        <v>1159</v>
      </c>
      <c r="B2328" s="6" t="s">
        <v>48</v>
      </c>
      <c r="D2328" s="4" t="s">
        <v>761</v>
      </c>
      <c r="E2328" s="5">
        <v>0</v>
      </c>
    </row>
    <row r="2329" spans="1:5" x14ac:dyDescent="0.25">
      <c r="A2329" s="6" t="s">
        <v>1159</v>
      </c>
      <c r="B2329" s="6" t="s">
        <v>112</v>
      </c>
      <c r="D2329" s="4" t="s">
        <v>1161</v>
      </c>
    </row>
    <row r="2330" spans="1:5" x14ac:dyDescent="0.25">
      <c r="A2330" s="6" t="s">
        <v>1159</v>
      </c>
      <c r="B2330" s="11" t="s">
        <v>78</v>
      </c>
      <c r="D2330" s="4" t="s">
        <v>570</v>
      </c>
      <c r="E2330" s="5">
        <v>0</v>
      </c>
    </row>
    <row r="2332" spans="1:5" x14ac:dyDescent="0.25">
      <c r="A2332" s="6" t="s">
        <v>1162</v>
      </c>
      <c r="B2332" s="6" t="s">
        <v>4</v>
      </c>
      <c r="C2332" s="6" t="s">
        <v>4</v>
      </c>
      <c r="D2332" s="4" t="s">
        <v>4</v>
      </c>
      <c r="E2332" s="5">
        <f>SUM(E2318:E2330)</f>
        <v>188647.35249999998</v>
      </c>
    </row>
    <row r="2334" spans="1:5" x14ac:dyDescent="0.25">
      <c r="A2334" s="6" t="s">
        <v>1163</v>
      </c>
    </row>
    <row r="2335" spans="1:5" x14ac:dyDescent="0.25">
      <c r="A2335" s="6" t="s">
        <v>12</v>
      </c>
    </row>
    <row r="2336" spans="1:5" x14ac:dyDescent="0.25">
      <c r="A2336" s="6" t="s">
        <v>1164</v>
      </c>
      <c r="B2336" s="6" t="s">
        <v>14</v>
      </c>
      <c r="D2336" s="4" t="s">
        <v>15</v>
      </c>
      <c r="E2336" s="5">
        <v>116417</v>
      </c>
    </row>
    <row r="2337" spans="1:6" x14ac:dyDescent="0.25">
      <c r="A2337" s="6" t="s">
        <v>1164</v>
      </c>
      <c r="B2337" s="11" t="s">
        <v>25</v>
      </c>
      <c r="D2337" s="4" t="s">
        <v>58</v>
      </c>
      <c r="E2337" s="5">
        <f>500+775</f>
        <v>1275</v>
      </c>
    </row>
    <row r="2338" spans="1:6" x14ac:dyDescent="0.25">
      <c r="A2338" s="6" t="s">
        <v>1164</v>
      </c>
      <c r="B2338" s="6" t="s">
        <v>36</v>
      </c>
      <c r="D2338" s="4" t="s">
        <v>157</v>
      </c>
      <c r="E2338" s="5">
        <f>5000+2800+3200</f>
        <v>11000</v>
      </c>
    </row>
    <row r="2339" spans="1:6" x14ac:dyDescent="0.25">
      <c r="A2339" s="6" t="s">
        <v>1164</v>
      </c>
      <c r="B2339" s="6" t="s">
        <v>17</v>
      </c>
      <c r="D2339" s="4" t="s">
        <v>18</v>
      </c>
      <c r="E2339" s="5">
        <f>SUM(E2336:E2338)*B3801</f>
        <v>7978.9039999999995</v>
      </c>
    </row>
    <row r="2340" spans="1:6" x14ac:dyDescent="0.25">
      <c r="A2340" s="6" t="s">
        <v>1164</v>
      </c>
      <c r="B2340" s="6" t="s">
        <v>19</v>
      </c>
      <c r="D2340" s="4" t="s">
        <v>20</v>
      </c>
      <c r="E2340" s="5">
        <f>SUM(E2336:E2338)*B3802</f>
        <v>1866.0340000000001</v>
      </c>
      <c r="F2340" s="4" t="s">
        <v>4</v>
      </c>
    </row>
    <row r="2341" spans="1:6" x14ac:dyDescent="0.25">
      <c r="A2341" s="6" t="s">
        <v>1164</v>
      </c>
      <c r="B2341" s="6" t="s">
        <v>21</v>
      </c>
      <c r="D2341" s="4" t="s">
        <v>22</v>
      </c>
      <c r="E2341" s="5">
        <f>SUM(E2336:E2338)*B3803</f>
        <v>30036.712800000001</v>
      </c>
      <c r="F2341" s="4" t="s">
        <v>4</v>
      </c>
    </row>
    <row r="2343" spans="1:6" x14ac:dyDescent="0.25">
      <c r="A2343" s="6" t="s">
        <v>1165</v>
      </c>
      <c r="B2343" s="6" t="s">
        <v>4</v>
      </c>
      <c r="C2343" s="6" t="s">
        <v>4</v>
      </c>
      <c r="D2343" s="4" t="s">
        <v>4</v>
      </c>
      <c r="E2343" s="5">
        <f>SUM(E2336:E2341)</f>
        <v>168573.65080000003</v>
      </c>
    </row>
    <row r="2345" spans="1:6" x14ac:dyDescent="0.25">
      <c r="A2345" s="6" t="s">
        <v>1166</v>
      </c>
    </row>
    <row r="2346" spans="1:6" x14ac:dyDescent="0.25">
      <c r="A2346" s="6" t="s">
        <v>12</v>
      </c>
    </row>
    <row r="2347" spans="1:6" x14ac:dyDescent="0.25">
      <c r="A2347" s="6" t="s">
        <v>1167</v>
      </c>
      <c r="B2347" s="6" t="s">
        <v>1168</v>
      </c>
      <c r="D2347" s="4" t="s">
        <v>1169</v>
      </c>
      <c r="E2347" s="5">
        <v>3900</v>
      </c>
    </row>
    <row r="2349" spans="1:6" x14ac:dyDescent="0.25">
      <c r="A2349" s="6" t="s">
        <v>1170</v>
      </c>
      <c r="B2349" s="6" t="s">
        <v>4</v>
      </c>
      <c r="C2349" s="6" t="s">
        <v>4</v>
      </c>
      <c r="D2349" s="4" t="s">
        <v>4</v>
      </c>
      <c r="E2349" s="5">
        <f>E2347</f>
        <v>3900</v>
      </c>
    </row>
    <row r="2351" spans="1:6" x14ac:dyDescent="0.25">
      <c r="A2351" s="6" t="s">
        <v>1171</v>
      </c>
    </row>
    <row r="2352" spans="1:6" x14ac:dyDescent="0.25">
      <c r="A2352" s="6" t="s">
        <v>12</v>
      </c>
    </row>
    <row r="2353" spans="1:6" x14ac:dyDescent="0.25">
      <c r="A2353" s="6" t="s">
        <v>1172</v>
      </c>
      <c r="B2353" s="6" t="s">
        <v>53</v>
      </c>
      <c r="D2353" s="4" t="s">
        <v>54</v>
      </c>
      <c r="E2353" s="5">
        <v>620320</v>
      </c>
    </row>
    <row r="2354" spans="1:6" x14ac:dyDescent="0.25">
      <c r="A2354" s="6" t="s">
        <v>1172</v>
      </c>
      <c r="B2354" s="6" t="s">
        <v>55</v>
      </c>
      <c r="D2354" s="4" t="s">
        <v>56</v>
      </c>
      <c r="E2354" s="5">
        <v>0</v>
      </c>
    </row>
    <row r="2355" spans="1:6" x14ac:dyDescent="0.25">
      <c r="A2355" s="6" t="s">
        <v>1172</v>
      </c>
      <c r="B2355" s="11" t="s">
        <v>258</v>
      </c>
      <c r="D2355" s="4" t="s">
        <v>259</v>
      </c>
      <c r="E2355" s="5">
        <v>2000</v>
      </c>
    </row>
    <row r="2356" spans="1:6" x14ac:dyDescent="0.25">
      <c r="A2356" s="6" t="s">
        <v>1172</v>
      </c>
      <c r="B2356" s="6" t="s">
        <v>14</v>
      </c>
      <c r="D2356" s="4" t="s">
        <v>15</v>
      </c>
      <c r="E2356" s="5">
        <v>48717</v>
      </c>
    </row>
    <row r="2357" spans="1:6" x14ac:dyDescent="0.25">
      <c r="A2357" s="6" t="s">
        <v>1172</v>
      </c>
      <c r="B2357" s="11" t="s">
        <v>25</v>
      </c>
      <c r="D2357" s="4" t="s">
        <v>58</v>
      </c>
      <c r="E2357" s="5">
        <v>0</v>
      </c>
      <c r="F2357" s="12"/>
    </row>
    <row r="2358" spans="1:6" x14ac:dyDescent="0.25">
      <c r="A2358" s="6" t="s">
        <v>1172</v>
      </c>
      <c r="B2358" s="6" t="s">
        <v>17</v>
      </c>
      <c r="D2358" s="4" t="s">
        <v>18</v>
      </c>
      <c r="E2358" s="5">
        <f>(E2355+E2356+E2357)*B3801</f>
        <v>3144.4540000000002</v>
      </c>
      <c r="F2358" s="4" t="s">
        <v>4</v>
      </c>
    </row>
    <row r="2359" spans="1:6" x14ac:dyDescent="0.25">
      <c r="A2359" s="6" t="s">
        <v>1172</v>
      </c>
      <c r="B2359" s="6" t="s">
        <v>19</v>
      </c>
      <c r="D2359" s="4" t="s">
        <v>20</v>
      </c>
      <c r="E2359" s="5">
        <f>SUM(E2353:E2357)*B3802</f>
        <v>9730.0365000000002</v>
      </c>
      <c r="F2359" s="4" t="s">
        <v>4</v>
      </c>
    </row>
    <row r="2360" spans="1:6" x14ac:dyDescent="0.25">
      <c r="A2360" s="6" t="s">
        <v>1172</v>
      </c>
      <c r="B2360" s="11" t="s">
        <v>40</v>
      </c>
      <c r="D2360" s="4" t="s">
        <v>60</v>
      </c>
      <c r="E2360" s="5">
        <f>SUM(E2353:E2354)*B3799</f>
        <v>18609.599999999999</v>
      </c>
    </row>
    <row r="2361" spans="1:6" x14ac:dyDescent="0.25">
      <c r="A2361" s="6" t="s">
        <v>1172</v>
      </c>
      <c r="B2361" s="6" t="s">
        <v>21</v>
      </c>
      <c r="D2361" s="4" t="s">
        <v>22</v>
      </c>
      <c r="E2361" s="5">
        <f>(E2355+E2356+E2357)*B3803</f>
        <v>11837.3478</v>
      </c>
      <c r="F2361" s="4" t="s">
        <v>4</v>
      </c>
    </row>
    <row r="2362" spans="1:6" x14ac:dyDescent="0.25">
      <c r="A2362" s="6" t="s">
        <v>1172</v>
      </c>
      <c r="B2362" s="11" t="s">
        <v>44</v>
      </c>
      <c r="D2362" s="4" t="s">
        <v>109</v>
      </c>
      <c r="E2362" s="5">
        <v>0</v>
      </c>
    </row>
    <row r="2363" spans="1:6" x14ac:dyDescent="0.25">
      <c r="A2363" s="6" t="s">
        <v>1172</v>
      </c>
      <c r="B2363" s="6" t="s">
        <v>385</v>
      </c>
      <c r="D2363" s="4" t="s">
        <v>560</v>
      </c>
      <c r="E2363" s="5">
        <v>0</v>
      </c>
      <c r="F2363" s="4" t="s">
        <v>4</v>
      </c>
    </row>
    <row r="2364" spans="1:6" x14ac:dyDescent="0.25">
      <c r="A2364" s="6" t="s">
        <v>1172</v>
      </c>
      <c r="B2364" s="6" t="s">
        <v>46</v>
      </c>
      <c r="D2364" s="4" t="s">
        <v>47</v>
      </c>
      <c r="E2364" s="5">
        <v>44394</v>
      </c>
      <c r="F2364" s="4" t="s">
        <v>789</v>
      </c>
    </row>
    <row r="2365" spans="1:6" x14ac:dyDescent="0.25">
      <c r="A2365" s="6" t="s">
        <v>1172</v>
      </c>
      <c r="B2365" s="6" t="s">
        <v>48</v>
      </c>
      <c r="D2365" s="4" t="s">
        <v>761</v>
      </c>
      <c r="E2365" s="5">
        <v>0</v>
      </c>
    </row>
    <row r="2366" spans="1:6" x14ac:dyDescent="0.25">
      <c r="A2366" s="6" t="s">
        <v>1172</v>
      </c>
      <c r="B2366" s="11" t="s">
        <v>112</v>
      </c>
      <c r="D2366" s="4" t="s">
        <v>297</v>
      </c>
      <c r="E2366" s="5">
        <v>0</v>
      </c>
    </row>
    <row r="2367" spans="1:6" x14ac:dyDescent="0.25">
      <c r="A2367" s="6" t="s">
        <v>1172</v>
      </c>
      <c r="B2367" s="6" t="s">
        <v>27</v>
      </c>
      <c r="D2367" s="4" t="s">
        <v>709</v>
      </c>
      <c r="E2367" s="5">
        <v>0</v>
      </c>
      <c r="F2367" s="4" t="s">
        <v>4</v>
      </c>
    </row>
    <row r="2368" spans="1:6" x14ac:dyDescent="0.25">
      <c r="A2368" s="6" t="s">
        <v>1172</v>
      </c>
      <c r="B2368" s="6" t="s">
        <v>479</v>
      </c>
      <c r="D2368" s="4" t="s">
        <v>502</v>
      </c>
      <c r="E2368" s="5">
        <v>0</v>
      </c>
    </row>
    <row r="2370" spans="1:5" x14ac:dyDescent="0.25">
      <c r="A2370" s="6" t="s">
        <v>1173</v>
      </c>
      <c r="B2370" s="6" t="s">
        <v>4</v>
      </c>
      <c r="C2370" s="6" t="s">
        <v>4</v>
      </c>
      <c r="D2370" s="4" t="s">
        <v>4</v>
      </c>
      <c r="E2370" s="5">
        <f>SUM(E2353:E2368)</f>
        <v>758752.43830000004</v>
      </c>
    </row>
    <row r="2372" spans="1:5" x14ac:dyDescent="0.25">
      <c r="A2372" s="12" t="s">
        <v>1174</v>
      </c>
      <c r="B2372" s="12" t="s">
        <v>53</v>
      </c>
      <c r="D2372" s="4" t="s">
        <v>54</v>
      </c>
      <c r="E2372" s="5">
        <v>56011</v>
      </c>
    </row>
    <row r="2373" spans="1:5" x14ac:dyDescent="0.25">
      <c r="A2373" s="12" t="s">
        <v>1174</v>
      </c>
      <c r="B2373" s="12" t="s">
        <v>55</v>
      </c>
      <c r="D2373" s="4" t="s">
        <v>56</v>
      </c>
      <c r="E2373" s="5">
        <v>5753</v>
      </c>
    </row>
    <row r="2374" spans="1:5" x14ac:dyDescent="0.25">
      <c r="A2374" s="12" t="s">
        <v>1174</v>
      </c>
      <c r="B2374" s="12" t="s">
        <v>32</v>
      </c>
      <c r="D2374" s="4" t="s">
        <v>33</v>
      </c>
      <c r="E2374" s="5">
        <v>6010</v>
      </c>
    </row>
    <row r="2375" spans="1:5" x14ac:dyDescent="0.25">
      <c r="A2375" s="12" t="s">
        <v>1174</v>
      </c>
      <c r="B2375" s="12" t="s">
        <v>19</v>
      </c>
      <c r="D2375" s="4" t="s">
        <v>20</v>
      </c>
      <c r="E2375" s="5">
        <f>SUM(E2372:E2374)*B3802</f>
        <v>982.72300000000007</v>
      </c>
    </row>
    <row r="2376" spans="1:5" x14ac:dyDescent="0.25">
      <c r="A2376" s="12" t="s">
        <v>1174</v>
      </c>
      <c r="B2376" s="12" t="s">
        <v>40</v>
      </c>
      <c r="D2376" s="4" t="s">
        <v>60</v>
      </c>
      <c r="E2376" s="5">
        <f>SUM(E2372:E2374)*B3799</f>
        <v>2033.22</v>
      </c>
    </row>
    <row r="2377" spans="1:5" x14ac:dyDescent="0.25">
      <c r="A2377" s="12"/>
    </row>
    <row r="2378" spans="1:5" x14ac:dyDescent="0.25">
      <c r="A2378" s="4" t="s">
        <v>394</v>
      </c>
      <c r="E2378" s="5">
        <f>SUM(E2372:E2376)</f>
        <v>70789.942999999999</v>
      </c>
    </row>
    <row r="2380" spans="1:5" x14ac:dyDescent="0.25">
      <c r="A2380" s="6" t="s">
        <v>1175</v>
      </c>
    </row>
    <row r="2381" spans="1:5" x14ac:dyDescent="0.25">
      <c r="A2381" s="6" t="s">
        <v>12</v>
      </c>
    </row>
    <row r="2382" spans="1:5" x14ac:dyDescent="0.25">
      <c r="A2382" s="6" t="s">
        <v>1176</v>
      </c>
      <c r="B2382" s="6" t="s">
        <v>53</v>
      </c>
      <c r="D2382" s="4" t="s">
        <v>54</v>
      </c>
      <c r="E2382" s="5">
        <v>221542</v>
      </c>
    </row>
    <row r="2383" spans="1:5" x14ac:dyDescent="0.25">
      <c r="A2383" s="6" t="s">
        <v>1176</v>
      </c>
      <c r="B2383" s="11" t="s">
        <v>34</v>
      </c>
      <c r="D2383" s="4" t="s">
        <v>57</v>
      </c>
      <c r="E2383" s="5">
        <v>0</v>
      </c>
    </row>
    <row r="2384" spans="1:5" x14ac:dyDescent="0.25">
      <c r="A2384" s="6" t="s">
        <v>1176</v>
      </c>
      <c r="B2384" s="6" t="s">
        <v>14</v>
      </c>
      <c r="D2384" s="4" t="s">
        <v>15</v>
      </c>
      <c r="E2384" s="5">
        <v>71920</v>
      </c>
    </row>
    <row r="2385" spans="1:6" x14ac:dyDescent="0.25">
      <c r="A2385" s="6" t="s">
        <v>1176</v>
      </c>
      <c r="B2385" s="6" t="s">
        <v>17</v>
      </c>
      <c r="D2385" s="4" t="s">
        <v>18</v>
      </c>
      <c r="E2385" s="5">
        <f>E2384*B3801</f>
        <v>4459.04</v>
      </c>
    </row>
    <row r="2386" spans="1:6" x14ac:dyDescent="0.25">
      <c r="A2386" s="6" t="s">
        <v>1176</v>
      </c>
      <c r="B2386" s="6" t="s">
        <v>19</v>
      </c>
      <c r="D2386" s="4" t="s">
        <v>20</v>
      </c>
      <c r="E2386" s="5">
        <f>SUM(E2382:E2384)*B3802</f>
        <v>4255.1990000000005</v>
      </c>
    </row>
    <row r="2387" spans="1:6" x14ac:dyDescent="0.25">
      <c r="A2387" s="6" t="s">
        <v>1176</v>
      </c>
      <c r="B2387" s="11" t="s">
        <v>40</v>
      </c>
      <c r="D2387" s="4" t="s">
        <v>60</v>
      </c>
      <c r="E2387" s="5">
        <f>(E2382+E2383)*B3799</f>
        <v>6646.2599999999993</v>
      </c>
    </row>
    <row r="2388" spans="1:6" x14ac:dyDescent="0.25">
      <c r="A2388" s="6" t="s">
        <v>1176</v>
      </c>
      <c r="B2388" s="11" t="s">
        <v>21</v>
      </c>
      <c r="D2388" s="4" t="s">
        <v>22</v>
      </c>
      <c r="E2388" s="5">
        <f>E2384*B3803</f>
        <v>16786.128000000001</v>
      </c>
    </row>
    <row r="2389" spans="1:6" x14ac:dyDescent="0.25">
      <c r="A2389" s="6" t="s">
        <v>1176</v>
      </c>
      <c r="B2389" s="6" t="s">
        <v>46</v>
      </c>
      <c r="D2389" s="4" t="s">
        <v>47</v>
      </c>
      <c r="E2389" s="5">
        <v>0</v>
      </c>
    </row>
    <row r="2391" spans="1:6" x14ac:dyDescent="0.25">
      <c r="A2391" s="6" t="s">
        <v>1177</v>
      </c>
      <c r="B2391" s="6" t="s">
        <v>4</v>
      </c>
      <c r="C2391" s="6" t="s">
        <v>4</v>
      </c>
      <c r="D2391" s="4" t="s">
        <v>4</v>
      </c>
      <c r="E2391" s="5">
        <f>SUM(E2382:E2389)</f>
        <v>325608.62700000004</v>
      </c>
    </row>
    <row r="2392" spans="1:6" hidden="1" x14ac:dyDescent="0.25"/>
    <row r="2393" spans="1:6" hidden="1" x14ac:dyDescent="0.25">
      <c r="A2393" s="6" t="s">
        <v>1178</v>
      </c>
    </row>
    <row r="2394" spans="1:6" hidden="1" x14ac:dyDescent="0.25">
      <c r="A2394" s="6" t="s">
        <v>12</v>
      </c>
    </row>
    <row r="2395" spans="1:6" hidden="1" x14ac:dyDescent="0.25">
      <c r="A2395" s="6" t="s">
        <v>1179</v>
      </c>
      <c r="B2395" s="6" t="s">
        <v>61</v>
      </c>
      <c r="D2395" s="4" t="s">
        <v>188</v>
      </c>
      <c r="E2395" s="5">
        <v>0</v>
      </c>
      <c r="F2395" s="4" t="s">
        <v>4</v>
      </c>
    </row>
    <row r="2396" spans="1:6" hidden="1" x14ac:dyDescent="0.25">
      <c r="A2396" s="6" t="s">
        <v>1179</v>
      </c>
      <c r="B2396" s="6" t="s">
        <v>46</v>
      </c>
      <c r="D2396" s="4" t="s">
        <v>47</v>
      </c>
      <c r="E2396" s="5">
        <v>0</v>
      </c>
      <c r="F2396" s="4" t="s">
        <v>4</v>
      </c>
    </row>
    <row r="2397" spans="1:6" hidden="1" x14ac:dyDescent="0.25"/>
    <row r="2398" spans="1:6" hidden="1" x14ac:dyDescent="0.25">
      <c r="A2398" s="6" t="s">
        <v>1180</v>
      </c>
      <c r="B2398" s="6" t="s">
        <v>4</v>
      </c>
      <c r="C2398" s="6" t="s">
        <v>4</v>
      </c>
      <c r="D2398" s="4" t="s">
        <v>4</v>
      </c>
      <c r="E2398" s="5">
        <f>E2395+E2396</f>
        <v>0</v>
      </c>
    </row>
    <row r="2399" spans="1:6" x14ac:dyDescent="0.25">
      <c r="A2399" s="6"/>
      <c r="B2399" s="6"/>
      <c r="C2399" s="6"/>
    </row>
    <row r="2400" spans="1:6" x14ac:dyDescent="0.25">
      <c r="A2400" s="6" t="s">
        <v>1181</v>
      </c>
      <c r="B2400" s="6"/>
      <c r="C2400" s="6"/>
    </row>
    <row r="2401" spans="1:6" x14ac:dyDescent="0.25">
      <c r="A2401" s="6"/>
      <c r="B2401" s="6"/>
      <c r="C2401" s="6"/>
    </row>
    <row r="2402" spans="1:6" x14ac:dyDescent="0.25">
      <c r="A2402" s="6" t="s">
        <v>1182</v>
      </c>
      <c r="B2402" s="11" t="s">
        <v>53</v>
      </c>
      <c r="C2402" s="6"/>
      <c r="D2402" s="4" t="s">
        <v>54</v>
      </c>
      <c r="E2402" s="5">
        <v>52319</v>
      </c>
    </row>
    <row r="2403" spans="1:6" x14ac:dyDescent="0.25">
      <c r="A2403" s="6" t="s">
        <v>1182</v>
      </c>
      <c r="B2403" s="11" t="s">
        <v>14</v>
      </c>
      <c r="C2403" s="6"/>
      <c r="D2403" s="4" t="s">
        <v>15</v>
      </c>
      <c r="E2403" s="5">
        <v>0</v>
      </c>
    </row>
    <row r="2404" spans="1:6" x14ac:dyDescent="0.25">
      <c r="A2404" s="6" t="s">
        <v>1182</v>
      </c>
      <c r="B2404" s="6" t="s">
        <v>19</v>
      </c>
      <c r="C2404" s="6"/>
      <c r="D2404" s="4" t="s">
        <v>20</v>
      </c>
      <c r="E2404" s="5">
        <f>(E2402+E2403)*B3802</f>
        <v>758.62549999999999</v>
      </c>
    </row>
    <row r="2405" spans="1:6" x14ac:dyDescent="0.25">
      <c r="A2405" s="6" t="s">
        <v>1182</v>
      </c>
      <c r="B2405" s="11" t="s">
        <v>40</v>
      </c>
      <c r="C2405" s="6"/>
      <c r="D2405" s="4" t="s">
        <v>60</v>
      </c>
      <c r="E2405" s="5">
        <f>(E2402+E2403)*B3799</f>
        <v>1569.57</v>
      </c>
    </row>
    <row r="2406" spans="1:6" x14ac:dyDescent="0.25">
      <c r="A2406" s="6"/>
      <c r="B2406" s="6"/>
      <c r="C2406" s="6"/>
    </row>
    <row r="2407" spans="1:6" x14ac:dyDescent="0.25">
      <c r="A2407" s="6" t="s">
        <v>1183</v>
      </c>
      <c r="B2407" s="6"/>
      <c r="C2407" s="6"/>
      <c r="E2407" s="5">
        <f>SUM(E2402:E2405)</f>
        <v>54647.195500000002</v>
      </c>
    </row>
    <row r="2408" spans="1:6" x14ac:dyDescent="0.25">
      <c r="A2408" s="6" t="s">
        <v>12</v>
      </c>
    </row>
    <row r="2409" spans="1:6" x14ac:dyDescent="0.25">
      <c r="A2409" s="6" t="s">
        <v>1184</v>
      </c>
      <c r="B2409" s="6" t="s">
        <v>55</v>
      </c>
      <c r="D2409" s="4" t="s">
        <v>56</v>
      </c>
      <c r="E2409" s="5">
        <v>3478</v>
      </c>
    </row>
    <row r="2410" spans="1:6" x14ac:dyDescent="0.25">
      <c r="A2410" s="6" t="s">
        <v>1184</v>
      </c>
      <c r="B2410" s="6" t="s">
        <v>32</v>
      </c>
      <c r="D2410" s="4" t="s">
        <v>33</v>
      </c>
      <c r="E2410" s="5">
        <v>5850</v>
      </c>
    </row>
    <row r="2411" spans="1:6" x14ac:dyDescent="0.25">
      <c r="A2411" s="6" t="s">
        <v>1184</v>
      </c>
      <c r="B2411" s="11" t="s">
        <v>34</v>
      </c>
      <c r="D2411" s="4" t="s">
        <v>57</v>
      </c>
      <c r="E2411" s="5">
        <f>8300+7000</f>
        <v>15300</v>
      </c>
    </row>
    <row r="2412" spans="1:6" x14ac:dyDescent="0.25">
      <c r="A2412" s="6" t="s">
        <v>1184</v>
      </c>
      <c r="B2412" s="6" t="s">
        <v>254</v>
      </c>
      <c r="D2412" s="4" t="s">
        <v>255</v>
      </c>
      <c r="E2412" s="5">
        <f>40000+15000-12000</f>
        <v>43000</v>
      </c>
    </row>
    <row r="2413" spans="1:6" x14ac:dyDescent="0.25">
      <c r="A2413" s="6" t="s">
        <v>1184</v>
      </c>
      <c r="B2413" s="11" t="s">
        <v>648</v>
      </c>
      <c r="D2413" s="4" t="s">
        <v>15</v>
      </c>
      <c r="E2413" s="5">
        <f>6*15*34</f>
        <v>3060</v>
      </c>
      <c r="F2413" s="4" t="s">
        <v>1185</v>
      </c>
    </row>
    <row r="2414" spans="1:6" x14ac:dyDescent="0.25">
      <c r="A2414" s="6" t="s">
        <v>1184</v>
      </c>
      <c r="B2414" s="11" t="s">
        <v>25</v>
      </c>
      <c r="D2414" s="4" t="s">
        <v>58</v>
      </c>
      <c r="E2414" s="5">
        <f>1500+2500+1000+2000-3060</f>
        <v>3940</v>
      </c>
    </row>
    <row r="2415" spans="1:6" x14ac:dyDescent="0.25">
      <c r="A2415" s="6" t="s">
        <v>1184</v>
      </c>
      <c r="B2415" s="6" t="s">
        <v>17</v>
      </c>
      <c r="D2415" s="4" t="s">
        <v>18</v>
      </c>
      <c r="E2415" s="5">
        <f>(E2413+E2414)*B3801</f>
        <v>434</v>
      </c>
    </row>
    <row r="2416" spans="1:6" x14ac:dyDescent="0.25">
      <c r="A2416" s="6" t="s">
        <v>1184</v>
      </c>
      <c r="B2416" s="6" t="s">
        <v>19</v>
      </c>
      <c r="D2416" s="4" t="s">
        <v>20</v>
      </c>
      <c r="E2416" s="5">
        <f>SUM(E2409:E2414)*B3798</f>
        <v>1082.106</v>
      </c>
      <c r="F2416" s="4" t="s">
        <v>4</v>
      </c>
    </row>
    <row r="2417" spans="1:6" x14ac:dyDescent="0.25">
      <c r="A2417" s="6" t="s">
        <v>1184</v>
      </c>
      <c r="B2417" s="11" t="s">
        <v>40</v>
      </c>
      <c r="D2417" s="4" t="s">
        <v>60</v>
      </c>
      <c r="E2417" s="5">
        <f>SUM(E2409:E2412)*B3799</f>
        <v>2028.84</v>
      </c>
    </row>
    <row r="2418" spans="1:6" x14ac:dyDescent="0.25">
      <c r="A2418" s="6" t="s">
        <v>1184</v>
      </c>
      <c r="B2418" s="6" t="s">
        <v>21</v>
      </c>
      <c r="D2418" s="4" t="s">
        <v>22</v>
      </c>
      <c r="E2418" s="5">
        <f>(E2413+E2414)*B3803</f>
        <v>1633.8</v>
      </c>
      <c r="F2418" s="4" t="s">
        <v>4</v>
      </c>
    </row>
    <row r="2419" spans="1:6" x14ac:dyDescent="0.25">
      <c r="A2419" s="6" t="s">
        <v>1184</v>
      </c>
      <c r="B2419" s="11" t="s">
        <v>254</v>
      </c>
      <c r="D2419" s="4" t="s">
        <v>255</v>
      </c>
    </row>
    <row r="2420" spans="1:6" x14ac:dyDescent="0.25">
      <c r="A2420" s="6" t="s">
        <v>1184</v>
      </c>
      <c r="B2420" s="11" t="s">
        <v>46</v>
      </c>
      <c r="D2420" s="4" t="s">
        <v>93</v>
      </c>
      <c r="E2420" s="5">
        <v>1</v>
      </c>
    </row>
    <row r="2421" spans="1:6" x14ac:dyDescent="0.25">
      <c r="A2421" s="6" t="s">
        <v>1184</v>
      </c>
      <c r="B2421" s="11" t="s">
        <v>112</v>
      </c>
      <c r="D2421" s="4" t="s">
        <v>297</v>
      </c>
      <c r="E2421" s="5">
        <v>1</v>
      </c>
    </row>
    <row r="2422" spans="1:6" x14ac:dyDescent="0.25">
      <c r="A2422" s="6" t="s">
        <v>1184</v>
      </c>
      <c r="B2422" s="11" t="s">
        <v>78</v>
      </c>
      <c r="D2422" s="4" t="s">
        <v>620</v>
      </c>
      <c r="E2422" s="5">
        <v>0</v>
      </c>
    </row>
    <row r="2424" spans="1:6" x14ac:dyDescent="0.25">
      <c r="A2424" s="6" t="s">
        <v>1186</v>
      </c>
      <c r="B2424" s="6" t="s">
        <v>4</v>
      </c>
      <c r="C2424" s="6" t="s">
        <v>4</v>
      </c>
      <c r="D2424" s="4" t="s">
        <v>4</v>
      </c>
      <c r="E2424" s="5">
        <f>SUM(E2409:E2422)</f>
        <v>79808.745999999999</v>
      </c>
    </row>
    <row r="2426" spans="1:6" x14ac:dyDescent="0.25">
      <c r="A2426" s="6" t="s">
        <v>1187</v>
      </c>
    </row>
    <row r="2427" spans="1:6" x14ac:dyDescent="0.25">
      <c r="A2427" s="6" t="s">
        <v>12</v>
      </c>
    </row>
    <row r="2428" spans="1:6" x14ac:dyDescent="0.25">
      <c r="A2428" s="6" t="s">
        <v>1188</v>
      </c>
      <c r="B2428" s="6" t="s">
        <v>32</v>
      </c>
      <c r="D2428" s="4" t="s">
        <v>33</v>
      </c>
      <c r="E2428" s="5">
        <v>0</v>
      </c>
    </row>
    <row r="2429" spans="1:6" x14ac:dyDescent="0.25">
      <c r="A2429" s="6" t="s">
        <v>1188</v>
      </c>
      <c r="B2429" s="6" t="s">
        <v>19</v>
      </c>
      <c r="D2429" s="4" t="s">
        <v>20</v>
      </c>
      <c r="E2429" s="5">
        <f>E2428*B3798</f>
        <v>0</v>
      </c>
    </row>
    <row r="2430" spans="1:6" x14ac:dyDescent="0.25">
      <c r="A2430" s="6" t="s">
        <v>1188</v>
      </c>
      <c r="B2430" s="11" t="s">
        <v>40</v>
      </c>
      <c r="D2430" s="4" t="s">
        <v>60</v>
      </c>
      <c r="E2430" s="5">
        <f>E2428*B3799</f>
        <v>0</v>
      </c>
    </row>
    <row r="2431" spans="1:6" x14ac:dyDescent="0.25">
      <c r="A2431" s="6" t="s">
        <v>1188</v>
      </c>
      <c r="B2431" s="6" t="s">
        <v>46</v>
      </c>
      <c r="D2431" s="4" t="s">
        <v>47</v>
      </c>
      <c r="E2431" s="5">
        <f>1000-500</f>
        <v>500</v>
      </c>
    </row>
    <row r="2433" spans="1:6" x14ac:dyDescent="0.25">
      <c r="A2433" s="6" t="s">
        <v>1189</v>
      </c>
      <c r="B2433" s="6" t="s">
        <v>4</v>
      </c>
      <c r="C2433" s="6" t="s">
        <v>4</v>
      </c>
      <c r="D2433" s="4" t="s">
        <v>4</v>
      </c>
      <c r="E2433" s="5">
        <f>SUM(E2428:E2431)</f>
        <v>500</v>
      </c>
    </row>
    <row r="2435" spans="1:6" x14ac:dyDescent="0.25">
      <c r="A2435" s="6" t="s">
        <v>1190</v>
      </c>
    </row>
    <row r="2436" spans="1:6" x14ac:dyDescent="0.25">
      <c r="A2436" s="6" t="s">
        <v>12</v>
      </c>
    </row>
    <row r="2437" spans="1:6" x14ac:dyDescent="0.25">
      <c r="A2437" s="6" t="s">
        <v>1191</v>
      </c>
      <c r="B2437" s="6" t="s">
        <v>32</v>
      </c>
      <c r="D2437" s="4" t="s">
        <v>33</v>
      </c>
      <c r="E2437" s="5">
        <f>1800+1800</f>
        <v>3600</v>
      </c>
    </row>
    <row r="2438" spans="1:6" x14ac:dyDescent="0.25">
      <c r="A2438" s="6" t="s">
        <v>1191</v>
      </c>
      <c r="B2438" s="6" t="s">
        <v>25</v>
      </c>
      <c r="D2438" s="4" t="s">
        <v>58</v>
      </c>
      <c r="E2438" s="5">
        <f>900+2800</f>
        <v>3700</v>
      </c>
    </row>
    <row r="2439" spans="1:6" x14ac:dyDescent="0.25">
      <c r="A2439" s="6" t="s">
        <v>1191</v>
      </c>
      <c r="B2439" s="11" t="s">
        <v>38</v>
      </c>
      <c r="D2439" s="4" t="s">
        <v>39</v>
      </c>
      <c r="E2439" s="5">
        <v>425</v>
      </c>
    </row>
    <row r="2440" spans="1:6" x14ac:dyDescent="0.25">
      <c r="A2440" s="6" t="s">
        <v>1191</v>
      </c>
      <c r="B2440" s="6" t="s">
        <v>17</v>
      </c>
      <c r="D2440" s="4" t="s">
        <v>18</v>
      </c>
      <c r="E2440" s="5">
        <f>(E2438+E2439)*B3801</f>
        <v>255.75</v>
      </c>
    </row>
    <row r="2441" spans="1:6" x14ac:dyDescent="0.25">
      <c r="A2441" s="6" t="s">
        <v>1191</v>
      </c>
      <c r="B2441" s="6" t="s">
        <v>19</v>
      </c>
      <c r="D2441" s="4" t="s">
        <v>20</v>
      </c>
      <c r="E2441" s="5">
        <f>SUM(E2437:E2439)*B3798</f>
        <v>112.0125</v>
      </c>
      <c r="F2441" s="4" t="s">
        <v>4</v>
      </c>
    </row>
    <row r="2442" spans="1:6" x14ac:dyDescent="0.25">
      <c r="A2442" s="6" t="s">
        <v>1191</v>
      </c>
      <c r="B2442" s="11" t="s">
        <v>40</v>
      </c>
      <c r="D2442" s="4" t="s">
        <v>60</v>
      </c>
      <c r="E2442" s="5">
        <f>E2437*B3799</f>
        <v>108</v>
      </c>
    </row>
    <row r="2443" spans="1:6" x14ac:dyDescent="0.25">
      <c r="A2443" s="6" t="s">
        <v>1191</v>
      </c>
      <c r="B2443" s="6" t="s">
        <v>21</v>
      </c>
      <c r="D2443" s="4" t="s">
        <v>22</v>
      </c>
      <c r="E2443" s="5">
        <f>(E2438+E2439)*B3803</f>
        <v>962.77499999999998</v>
      </c>
      <c r="F2443" s="4" t="s">
        <v>4</v>
      </c>
    </row>
    <row r="2445" spans="1:6" x14ac:dyDescent="0.25">
      <c r="A2445" s="6" t="s">
        <v>1192</v>
      </c>
      <c r="B2445" s="6" t="s">
        <v>4</v>
      </c>
      <c r="C2445" s="6" t="s">
        <v>4</v>
      </c>
      <c r="D2445" s="4" t="s">
        <v>4</v>
      </c>
      <c r="E2445" s="5">
        <f>SUM(E2437:E2443)</f>
        <v>9163.5375000000004</v>
      </c>
    </row>
    <row r="2447" spans="1:6" x14ac:dyDescent="0.25">
      <c r="A2447" s="6" t="s">
        <v>1193</v>
      </c>
    </row>
    <row r="2448" spans="1:6" x14ac:dyDescent="0.25">
      <c r="A2448" s="6" t="s">
        <v>12</v>
      </c>
    </row>
    <row r="2449" spans="1:5" x14ac:dyDescent="0.25">
      <c r="A2449" s="11" t="s">
        <v>1194</v>
      </c>
      <c r="B2449" s="11" t="s">
        <v>55</v>
      </c>
      <c r="D2449" s="4" t="s">
        <v>56</v>
      </c>
      <c r="E2449" s="5">
        <v>3296</v>
      </c>
    </row>
    <row r="2450" spans="1:5" x14ac:dyDescent="0.25">
      <c r="A2450" s="11" t="s">
        <v>1194</v>
      </c>
      <c r="B2450" s="11" t="s">
        <v>32</v>
      </c>
      <c r="D2450" s="4" t="s">
        <v>33</v>
      </c>
      <c r="E2450" s="5">
        <v>5850</v>
      </c>
    </row>
    <row r="2451" spans="1:5" x14ac:dyDescent="0.25">
      <c r="A2451" s="11" t="s">
        <v>1194</v>
      </c>
      <c r="B2451" s="11" t="s">
        <v>19</v>
      </c>
      <c r="D2451" s="4" t="s">
        <v>20</v>
      </c>
      <c r="E2451" s="5">
        <f>SUM(E2449:E2450)*B3798</f>
        <v>132.61700000000002</v>
      </c>
    </row>
    <row r="2452" spans="1:5" x14ac:dyDescent="0.25">
      <c r="A2452" s="11" t="s">
        <v>1194</v>
      </c>
      <c r="B2452" s="11" t="s">
        <v>40</v>
      </c>
      <c r="D2452" s="4" t="s">
        <v>60</v>
      </c>
      <c r="E2452" s="5">
        <f>SUM(E2449:E2450)*B3799</f>
        <v>274.38</v>
      </c>
    </row>
    <row r="2454" spans="1:5" x14ac:dyDescent="0.25">
      <c r="A2454" s="6" t="s">
        <v>1195</v>
      </c>
      <c r="E2454" s="5">
        <f>SUM(E2449:E2452)</f>
        <v>9552.9969999999994</v>
      </c>
    </row>
    <row r="2455" spans="1:5" x14ac:dyDescent="0.25">
      <c r="A2455" s="6"/>
    </row>
    <row r="2456" spans="1:5" x14ac:dyDescent="0.25">
      <c r="A2456" s="6" t="s">
        <v>1196</v>
      </c>
    </row>
    <row r="2457" spans="1:5" x14ac:dyDescent="0.25">
      <c r="A2457" s="6" t="s">
        <v>12</v>
      </c>
    </row>
    <row r="2458" spans="1:5" x14ac:dyDescent="0.25">
      <c r="A2458" s="6" t="s">
        <v>1197</v>
      </c>
      <c r="B2458" s="11" t="s">
        <v>55</v>
      </c>
      <c r="D2458" s="4" t="s">
        <v>56</v>
      </c>
      <c r="E2458" s="5">
        <v>26677</v>
      </c>
    </row>
    <row r="2459" spans="1:5" x14ac:dyDescent="0.25">
      <c r="A2459" s="6" t="s">
        <v>1197</v>
      </c>
      <c r="B2459" s="6" t="s">
        <v>32</v>
      </c>
      <c r="D2459" s="4" t="s">
        <v>33</v>
      </c>
      <c r="E2459" s="5">
        <v>30538</v>
      </c>
    </row>
    <row r="2460" spans="1:5" x14ac:dyDescent="0.25">
      <c r="A2460" s="6" t="s">
        <v>1197</v>
      </c>
      <c r="B2460" s="11" t="s">
        <v>14</v>
      </c>
      <c r="D2460" s="4" t="s">
        <v>15</v>
      </c>
      <c r="E2460" s="5">
        <v>8359</v>
      </c>
    </row>
    <row r="2461" spans="1:5" x14ac:dyDescent="0.25">
      <c r="A2461" s="6" t="s">
        <v>1197</v>
      </c>
      <c r="B2461" s="11" t="s">
        <v>36</v>
      </c>
      <c r="D2461" s="4" t="s">
        <v>37</v>
      </c>
      <c r="E2461" s="5">
        <v>500</v>
      </c>
    </row>
    <row r="2462" spans="1:5" x14ac:dyDescent="0.25">
      <c r="A2462" s="6" t="s">
        <v>1197</v>
      </c>
      <c r="B2462" s="11" t="s">
        <v>17</v>
      </c>
      <c r="D2462" s="4" t="s">
        <v>18</v>
      </c>
      <c r="E2462" s="5">
        <f>E2460+E2461*B3801</f>
        <v>8390</v>
      </c>
    </row>
    <row r="2463" spans="1:5" x14ac:dyDescent="0.25">
      <c r="A2463" s="6" t="s">
        <v>1197</v>
      </c>
      <c r="B2463" s="6" t="s">
        <v>19</v>
      </c>
      <c r="D2463" s="4" t="s">
        <v>20</v>
      </c>
      <c r="E2463" s="5">
        <f>SUM(E2458:E2461)*B3798</f>
        <v>958.07300000000009</v>
      </c>
    </row>
    <row r="2464" spans="1:5" x14ac:dyDescent="0.25">
      <c r="A2464" s="6" t="s">
        <v>1197</v>
      </c>
      <c r="B2464" s="6" t="s">
        <v>40</v>
      </c>
      <c r="D2464" s="4" t="s">
        <v>60</v>
      </c>
      <c r="E2464" s="5">
        <f>SUM(E2458:E2459)*B3799</f>
        <v>1716.45</v>
      </c>
    </row>
    <row r="2465" spans="1:5" x14ac:dyDescent="0.25">
      <c r="A2465" s="6" t="s">
        <v>1197</v>
      </c>
      <c r="B2465" s="11" t="s">
        <v>21</v>
      </c>
      <c r="D2465" s="4" t="s">
        <v>22</v>
      </c>
      <c r="E2465" s="5">
        <f>E2460+E2461*B3803</f>
        <v>8475.7000000000007</v>
      </c>
    </row>
    <row r="2467" spans="1:5" x14ac:dyDescent="0.25">
      <c r="A2467" s="6" t="s">
        <v>1198</v>
      </c>
      <c r="B2467" s="6" t="s">
        <v>4</v>
      </c>
      <c r="C2467" s="6" t="s">
        <v>4</v>
      </c>
      <c r="D2467" s="4" t="s">
        <v>4</v>
      </c>
      <c r="E2467" s="5">
        <f>SUM(E2458:E2465)</f>
        <v>85614.222999999998</v>
      </c>
    </row>
    <row r="2469" spans="1:5" x14ac:dyDescent="0.25">
      <c r="A2469" s="6" t="s">
        <v>1199</v>
      </c>
    </row>
    <row r="2470" spans="1:5" x14ac:dyDescent="0.25">
      <c r="A2470" s="6" t="s">
        <v>12</v>
      </c>
    </row>
    <row r="2471" spans="1:5" x14ac:dyDescent="0.25">
      <c r="A2471" s="6" t="s">
        <v>1200</v>
      </c>
      <c r="B2471" s="12" t="s">
        <v>159</v>
      </c>
      <c r="D2471" s="4" t="s">
        <v>371</v>
      </c>
      <c r="E2471" s="5">
        <v>0</v>
      </c>
    </row>
    <row r="2472" spans="1:5" x14ac:dyDescent="0.25">
      <c r="A2472" s="6" t="s">
        <v>1200</v>
      </c>
      <c r="B2472" s="12" t="s">
        <v>44</v>
      </c>
      <c r="D2472" s="4" t="s">
        <v>45</v>
      </c>
      <c r="E2472" s="5">
        <f>10000+1612</f>
        <v>11612</v>
      </c>
    </row>
    <row r="2473" spans="1:5" x14ac:dyDescent="0.25">
      <c r="A2473" s="6" t="s">
        <v>1200</v>
      </c>
      <c r="B2473" s="6" t="s">
        <v>161</v>
      </c>
      <c r="D2473" s="4" t="s">
        <v>162</v>
      </c>
      <c r="E2473" s="5">
        <f>10000+500+1000</f>
        <v>11500</v>
      </c>
    </row>
    <row r="2474" spans="1:5" x14ac:dyDescent="0.25">
      <c r="A2474" s="6" t="s">
        <v>1200</v>
      </c>
      <c r="B2474" s="6" t="s">
        <v>167</v>
      </c>
      <c r="D2474" s="4" t="s">
        <v>537</v>
      </c>
      <c r="E2474" s="5">
        <v>2500</v>
      </c>
    </row>
    <row r="2475" spans="1:5" x14ac:dyDescent="0.25">
      <c r="A2475" s="6" t="s">
        <v>1200</v>
      </c>
      <c r="B2475" s="11" t="s">
        <v>169</v>
      </c>
      <c r="D2475" s="4" t="s">
        <v>170</v>
      </c>
      <c r="E2475" s="5">
        <v>1000</v>
      </c>
    </row>
    <row r="2476" spans="1:5" x14ac:dyDescent="0.25">
      <c r="A2476" s="6" t="s">
        <v>1200</v>
      </c>
      <c r="B2476" s="6" t="s">
        <v>841</v>
      </c>
      <c r="D2476" s="4" t="s">
        <v>842</v>
      </c>
      <c r="E2476" s="5">
        <f>1500-1500</f>
        <v>0</v>
      </c>
    </row>
    <row r="2477" spans="1:5" x14ac:dyDescent="0.25">
      <c r="A2477" s="6" t="s">
        <v>1200</v>
      </c>
      <c r="B2477" s="6" t="s">
        <v>171</v>
      </c>
      <c r="D2477" s="4" t="s">
        <v>516</v>
      </c>
      <c r="E2477" s="5">
        <v>8000</v>
      </c>
    </row>
    <row r="2478" spans="1:5" x14ac:dyDescent="0.25">
      <c r="A2478" s="6" t="s">
        <v>1200</v>
      </c>
      <c r="B2478" s="11" t="s">
        <v>173</v>
      </c>
      <c r="D2478" s="4" t="s">
        <v>538</v>
      </c>
      <c r="E2478" s="5">
        <v>5000</v>
      </c>
    </row>
    <row r="2479" spans="1:5" x14ac:dyDescent="0.25">
      <c r="A2479" s="6" t="s">
        <v>1200</v>
      </c>
      <c r="B2479" s="11" t="s">
        <v>542</v>
      </c>
      <c r="D2479" s="4" t="s">
        <v>637</v>
      </c>
      <c r="E2479" s="5">
        <v>250</v>
      </c>
    </row>
    <row r="2480" spans="1:5" x14ac:dyDescent="0.25">
      <c r="A2480" s="6" t="s">
        <v>1200</v>
      </c>
      <c r="B2480" s="11" t="s">
        <v>175</v>
      </c>
      <c r="D2480" s="4" t="s">
        <v>1201</v>
      </c>
      <c r="E2480" s="5">
        <v>500</v>
      </c>
    </row>
    <row r="2481" spans="1:5" x14ac:dyDescent="0.25">
      <c r="A2481" s="6" t="s">
        <v>1200</v>
      </c>
      <c r="B2481" s="6" t="s">
        <v>46</v>
      </c>
      <c r="D2481" s="4" t="s">
        <v>47</v>
      </c>
      <c r="E2481" s="5">
        <v>20000</v>
      </c>
    </row>
    <row r="2482" spans="1:5" x14ac:dyDescent="0.25">
      <c r="A2482" s="6" t="s">
        <v>1200</v>
      </c>
      <c r="B2482" s="6" t="s">
        <v>177</v>
      </c>
      <c r="D2482" s="4" t="s">
        <v>178</v>
      </c>
      <c r="E2482" s="5">
        <f>10000+2500+12000</f>
        <v>24500</v>
      </c>
    </row>
    <row r="2483" spans="1:5" x14ac:dyDescent="0.25">
      <c r="A2483" s="6" t="s">
        <v>1200</v>
      </c>
      <c r="B2483" s="6" t="s">
        <v>179</v>
      </c>
      <c r="D2483" s="4" t="s">
        <v>180</v>
      </c>
      <c r="E2483" s="5">
        <f>60000-15000-13000+13000</f>
        <v>45000</v>
      </c>
    </row>
    <row r="2484" spans="1:5" x14ac:dyDescent="0.25">
      <c r="A2484" s="6" t="s">
        <v>1200</v>
      </c>
      <c r="B2484" s="11" t="s">
        <v>544</v>
      </c>
      <c r="D2484" s="4" t="s">
        <v>545</v>
      </c>
      <c r="E2484" s="5">
        <v>2500</v>
      </c>
    </row>
    <row r="2485" spans="1:5" x14ac:dyDescent="0.25">
      <c r="A2485" s="6" t="s">
        <v>1200</v>
      </c>
      <c r="B2485" s="11" t="s">
        <v>183</v>
      </c>
      <c r="D2485" s="4" t="s">
        <v>1202</v>
      </c>
      <c r="E2485" s="5">
        <v>0</v>
      </c>
    </row>
    <row r="2486" spans="1:5" x14ac:dyDescent="0.25">
      <c r="A2486" s="6" t="s">
        <v>1200</v>
      </c>
      <c r="B2486" s="11" t="s">
        <v>131</v>
      </c>
      <c r="D2486" s="4" t="s">
        <v>132</v>
      </c>
      <c r="E2486" s="5">
        <v>2500</v>
      </c>
    </row>
    <row r="2487" spans="1:5" x14ac:dyDescent="0.25">
      <c r="A2487" s="6" t="s">
        <v>1200</v>
      </c>
      <c r="B2487" s="6" t="s">
        <v>192</v>
      </c>
      <c r="D2487" s="4" t="s">
        <v>546</v>
      </c>
      <c r="E2487" s="5">
        <v>1000</v>
      </c>
    </row>
    <row r="2489" spans="1:5" x14ac:dyDescent="0.25">
      <c r="A2489" s="6" t="s">
        <v>1203</v>
      </c>
      <c r="B2489" s="6" t="s">
        <v>4</v>
      </c>
      <c r="C2489" s="6" t="s">
        <v>4</v>
      </c>
      <c r="D2489" s="4" t="s">
        <v>4</v>
      </c>
      <c r="E2489" s="5">
        <f>SUM(E2471:E2487)</f>
        <v>135862</v>
      </c>
    </row>
    <row r="2491" spans="1:5" x14ac:dyDescent="0.25">
      <c r="A2491" s="6" t="s">
        <v>1204</v>
      </c>
    </row>
    <row r="2492" spans="1:5" x14ac:dyDescent="0.25">
      <c r="A2492" s="6" t="s">
        <v>12</v>
      </c>
    </row>
    <row r="2493" spans="1:5" x14ac:dyDescent="0.25">
      <c r="A2493" s="6" t="s">
        <v>1205</v>
      </c>
      <c r="B2493" s="6" t="s">
        <v>165</v>
      </c>
      <c r="D2493" s="4" t="s">
        <v>550</v>
      </c>
      <c r="E2493" s="5">
        <v>12000</v>
      </c>
    </row>
    <row r="2495" spans="1:5" x14ac:dyDescent="0.25">
      <c r="A2495" s="6" t="s">
        <v>1206</v>
      </c>
      <c r="B2495" s="6" t="s">
        <v>4</v>
      </c>
      <c r="C2495" s="6" t="s">
        <v>4</v>
      </c>
      <c r="D2495" s="4" t="s">
        <v>4</v>
      </c>
      <c r="E2495" s="5">
        <f>E2493</f>
        <v>12000</v>
      </c>
    </row>
    <row r="2496" spans="1:5" x14ac:dyDescent="0.25">
      <c r="A2496" s="6"/>
      <c r="B2496" s="6"/>
      <c r="C2496" s="6"/>
    </row>
    <row r="2497" spans="1:5" x14ac:dyDescent="0.25">
      <c r="A2497" s="6" t="s">
        <v>1207</v>
      </c>
    </row>
    <row r="2498" spans="1:5" x14ac:dyDescent="0.25">
      <c r="A2498" s="6" t="s">
        <v>12</v>
      </c>
    </row>
    <row r="2499" spans="1:5" x14ac:dyDescent="0.25">
      <c r="A2499" s="11" t="s">
        <v>1208</v>
      </c>
      <c r="B2499" s="6" t="s">
        <v>53</v>
      </c>
      <c r="D2499" s="4" t="s">
        <v>54</v>
      </c>
      <c r="E2499" s="5">
        <v>108067</v>
      </c>
    </row>
    <row r="2500" spans="1:5" x14ac:dyDescent="0.25">
      <c r="A2500" s="11" t="s">
        <v>1208</v>
      </c>
      <c r="B2500" s="11" t="s">
        <v>14</v>
      </c>
      <c r="D2500" s="4" t="s">
        <v>15</v>
      </c>
      <c r="E2500" s="5">
        <v>54960</v>
      </c>
    </row>
    <row r="2501" spans="1:5" x14ac:dyDescent="0.25">
      <c r="A2501" s="11" t="s">
        <v>1208</v>
      </c>
      <c r="B2501" s="11" t="s">
        <v>17</v>
      </c>
      <c r="D2501" s="4" t="s">
        <v>18</v>
      </c>
      <c r="E2501" s="5">
        <f>E2500*B3801</f>
        <v>3407.52</v>
      </c>
    </row>
    <row r="2502" spans="1:5" x14ac:dyDescent="0.25">
      <c r="A2502" s="11" t="s">
        <v>1208</v>
      </c>
      <c r="B2502" s="6" t="s">
        <v>19</v>
      </c>
      <c r="D2502" s="4" t="s">
        <v>20</v>
      </c>
      <c r="E2502" s="5">
        <f>(E2499+E2500)*B3798</f>
        <v>2363.8915000000002</v>
      </c>
    </row>
    <row r="2503" spans="1:5" x14ac:dyDescent="0.25">
      <c r="A2503" s="11" t="s">
        <v>1208</v>
      </c>
      <c r="B2503" s="11" t="s">
        <v>40</v>
      </c>
      <c r="D2503" s="4" t="s">
        <v>60</v>
      </c>
      <c r="E2503" s="5">
        <f>E2499*B3799</f>
        <v>3242.0099999999998</v>
      </c>
    </row>
    <row r="2504" spans="1:5" x14ac:dyDescent="0.25">
      <c r="A2504" s="11" t="s">
        <v>1208</v>
      </c>
      <c r="B2504" s="11" t="s">
        <v>21</v>
      </c>
      <c r="D2504" s="4" t="s">
        <v>22</v>
      </c>
      <c r="E2504" s="5">
        <f>E2500*B3803</f>
        <v>12827.664000000001</v>
      </c>
    </row>
    <row r="2505" spans="1:5" x14ac:dyDescent="0.25">
      <c r="A2505" s="11"/>
      <c r="B2505" s="11"/>
    </row>
    <row r="2506" spans="1:5" x14ac:dyDescent="0.25">
      <c r="A2506" s="6" t="s">
        <v>394</v>
      </c>
      <c r="B2506" s="11"/>
      <c r="E2506" s="5">
        <f>SUM(E2499:E2504)</f>
        <v>184868.08549999999</v>
      </c>
    </row>
    <row r="2507" spans="1:5" x14ac:dyDescent="0.25">
      <c r="A2507" s="6"/>
      <c r="B2507" s="6"/>
      <c r="C2507" s="6"/>
    </row>
    <row r="2508" spans="1:5" hidden="1" x14ac:dyDescent="0.25">
      <c r="A2508" s="6" t="s">
        <v>1209</v>
      </c>
    </row>
    <row r="2509" spans="1:5" hidden="1" x14ac:dyDescent="0.25">
      <c r="A2509" s="6" t="s">
        <v>12</v>
      </c>
    </row>
    <row r="2510" spans="1:5" hidden="1" x14ac:dyDescent="0.25">
      <c r="A2510" s="6" t="s">
        <v>1210</v>
      </c>
      <c r="B2510" s="6" t="s">
        <v>14</v>
      </c>
      <c r="D2510" s="4" t="s">
        <v>15</v>
      </c>
      <c r="E2510" s="5">
        <v>0</v>
      </c>
    </row>
    <row r="2511" spans="1:5" hidden="1" x14ac:dyDescent="0.25">
      <c r="A2511" s="6" t="s">
        <v>1210</v>
      </c>
      <c r="B2511" s="6" t="s">
        <v>17</v>
      </c>
      <c r="D2511" s="4" t="s">
        <v>18</v>
      </c>
      <c r="E2511" s="5">
        <v>0</v>
      </c>
    </row>
    <row r="2512" spans="1:5" hidden="1" x14ac:dyDescent="0.25">
      <c r="A2512" s="6" t="s">
        <v>1210</v>
      </c>
      <c r="B2512" s="6" t="s">
        <v>19</v>
      </c>
      <c r="D2512" s="4" t="s">
        <v>20</v>
      </c>
      <c r="E2512" s="5">
        <f>E2510*B3802</f>
        <v>0</v>
      </c>
    </row>
    <row r="2513" spans="1:5" hidden="1" x14ac:dyDescent="0.25">
      <c r="A2513" s="6" t="s">
        <v>1210</v>
      </c>
      <c r="B2513" s="6" t="s">
        <v>21</v>
      </c>
      <c r="D2513" s="4" t="s">
        <v>22</v>
      </c>
      <c r="E2513" s="5">
        <f>E2510*B3803</f>
        <v>0</v>
      </c>
    </row>
    <row r="2514" spans="1:5" hidden="1" x14ac:dyDescent="0.25"/>
    <row r="2515" spans="1:5" hidden="1" x14ac:dyDescent="0.25">
      <c r="A2515" s="6" t="s">
        <v>1211</v>
      </c>
      <c r="B2515" s="6" t="s">
        <v>4</v>
      </c>
      <c r="C2515" s="6" t="s">
        <v>4</v>
      </c>
      <c r="D2515" s="4" t="s">
        <v>4</v>
      </c>
      <c r="E2515" s="5">
        <f>SUM(E2510:E2513)</f>
        <v>0</v>
      </c>
    </row>
    <row r="2516" spans="1:5" hidden="1" x14ac:dyDescent="0.25"/>
    <row r="2517" spans="1:5" hidden="1" x14ac:dyDescent="0.25">
      <c r="A2517" s="6" t="s">
        <v>1212</v>
      </c>
    </row>
    <row r="2518" spans="1:5" hidden="1" x14ac:dyDescent="0.25">
      <c r="A2518" s="6" t="s">
        <v>12</v>
      </c>
    </row>
    <row r="2519" spans="1:5" hidden="1" x14ac:dyDescent="0.25">
      <c r="A2519" s="6" t="s">
        <v>1213</v>
      </c>
      <c r="B2519" s="6" t="s">
        <v>192</v>
      </c>
      <c r="D2519" s="4" t="s">
        <v>546</v>
      </c>
      <c r="E2519" s="5">
        <v>0</v>
      </c>
    </row>
    <row r="2520" spans="1:5" hidden="1" x14ac:dyDescent="0.25"/>
    <row r="2521" spans="1:5" hidden="1" x14ac:dyDescent="0.25">
      <c r="A2521" s="6" t="s">
        <v>1214</v>
      </c>
      <c r="B2521" s="6" t="s">
        <v>4</v>
      </c>
      <c r="C2521" s="6" t="s">
        <v>4</v>
      </c>
      <c r="D2521" s="4" t="s">
        <v>4</v>
      </c>
      <c r="E2521" s="5">
        <f>E2519</f>
        <v>0</v>
      </c>
    </row>
    <row r="2522" spans="1:5" hidden="1" x14ac:dyDescent="0.25"/>
    <row r="2523" spans="1:5" x14ac:dyDescent="0.25">
      <c r="A2523" s="6" t="s">
        <v>1215</v>
      </c>
    </row>
    <row r="2524" spans="1:5" x14ac:dyDescent="0.25">
      <c r="A2524" s="6" t="s">
        <v>12</v>
      </c>
    </row>
    <row r="2525" spans="1:5" x14ac:dyDescent="0.25">
      <c r="A2525" s="6" t="s">
        <v>1216</v>
      </c>
      <c r="B2525" s="6" t="s">
        <v>53</v>
      </c>
      <c r="D2525" s="4" t="s">
        <v>54</v>
      </c>
      <c r="E2525" s="5">
        <v>67200</v>
      </c>
    </row>
    <row r="2526" spans="1:5" x14ac:dyDescent="0.25">
      <c r="A2526" s="6" t="s">
        <v>1216</v>
      </c>
      <c r="B2526" s="6" t="s">
        <v>19</v>
      </c>
      <c r="D2526" s="4" t="s">
        <v>20</v>
      </c>
      <c r="E2526" s="5">
        <f>E2525*B3798</f>
        <v>974.40000000000009</v>
      </c>
    </row>
    <row r="2527" spans="1:5" x14ac:dyDescent="0.25">
      <c r="A2527" s="6" t="s">
        <v>1216</v>
      </c>
      <c r="B2527" s="11" t="s">
        <v>40</v>
      </c>
      <c r="D2527" s="4" t="s">
        <v>41</v>
      </c>
      <c r="E2527" s="5">
        <f>E2525*B3799</f>
        <v>2016</v>
      </c>
    </row>
    <row r="2528" spans="1:5" x14ac:dyDescent="0.25">
      <c r="A2528" s="6" t="s">
        <v>1216</v>
      </c>
      <c r="B2528" s="6" t="s">
        <v>46</v>
      </c>
      <c r="D2528" s="4" t="s">
        <v>47</v>
      </c>
      <c r="E2528" s="5">
        <v>0</v>
      </c>
    </row>
    <row r="2529" spans="1:6" x14ac:dyDescent="0.25">
      <c r="A2529" s="6" t="s">
        <v>1216</v>
      </c>
      <c r="B2529" s="6" t="s">
        <v>48</v>
      </c>
      <c r="D2529" s="4" t="s">
        <v>761</v>
      </c>
      <c r="E2529" s="5">
        <v>0</v>
      </c>
    </row>
    <row r="2531" spans="1:6" x14ac:dyDescent="0.25">
      <c r="A2531" s="6" t="s">
        <v>1217</v>
      </c>
      <c r="B2531" s="6" t="s">
        <v>4</v>
      </c>
      <c r="C2531" s="6" t="s">
        <v>4</v>
      </c>
      <c r="D2531" s="4" t="s">
        <v>4</v>
      </c>
      <c r="E2531" s="5">
        <f>SUM(E2525:E2529)</f>
        <v>70190.399999999994</v>
      </c>
    </row>
    <row r="2533" spans="1:6" x14ac:dyDescent="0.25">
      <c r="A2533" s="11" t="s">
        <v>1218</v>
      </c>
    </row>
    <row r="2535" spans="1:6" x14ac:dyDescent="0.25">
      <c r="A2535" s="11" t="s">
        <v>1219</v>
      </c>
      <c r="B2535" s="11" t="s">
        <v>14</v>
      </c>
      <c r="D2535" s="4" t="s">
        <v>15</v>
      </c>
      <c r="E2535" s="5">
        <v>38384</v>
      </c>
      <c r="F2535" s="4" t="s">
        <v>1220</v>
      </c>
    </row>
    <row r="2536" spans="1:6" x14ac:dyDescent="0.25">
      <c r="A2536" s="11" t="s">
        <v>1219</v>
      </c>
      <c r="B2536" s="11" t="s">
        <v>14</v>
      </c>
      <c r="D2536" s="4" t="s">
        <v>15</v>
      </c>
      <c r="E2536" s="5">
        <f>41714-41714</f>
        <v>0</v>
      </c>
      <c r="F2536" s="4" t="s">
        <v>1221</v>
      </c>
    </row>
    <row r="2537" spans="1:6" x14ac:dyDescent="0.25">
      <c r="A2537" s="11" t="s">
        <v>1219</v>
      </c>
      <c r="B2537" s="11" t="s">
        <v>25</v>
      </c>
      <c r="D2537" s="4" t="s">
        <v>58</v>
      </c>
      <c r="E2537" s="5">
        <f>225*2</f>
        <v>450</v>
      </c>
    </row>
    <row r="2538" spans="1:6" x14ac:dyDescent="0.25">
      <c r="A2538" s="11" t="s">
        <v>1219</v>
      </c>
      <c r="B2538" s="11" t="s">
        <v>17</v>
      </c>
      <c r="D2538" s="4" t="s">
        <v>18</v>
      </c>
      <c r="E2538" s="5">
        <f>E2535*B3801</f>
        <v>2379.808</v>
      </c>
    </row>
    <row r="2539" spans="1:6" x14ac:dyDescent="0.25">
      <c r="A2539" s="11" t="s">
        <v>1219</v>
      </c>
      <c r="B2539" s="11" t="s">
        <v>19</v>
      </c>
      <c r="D2539" s="4" t="s">
        <v>20</v>
      </c>
      <c r="E2539" s="5">
        <f>SUM(E2535+E2536+E2537)*B3802</f>
        <v>563.09300000000007</v>
      </c>
    </row>
    <row r="2540" spans="1:6" x14ac:dyDescent="0.25">
      <c r="A2540" s="11" t="s">
        <v>1219</v>
      </c>
      <c r="B2540" s="11" t="s">
        <v>40</v>
      </c>
      <c r="D2540" s="4" t="s">
        <v>41</v>
      </c>
      <c r="E2540" s="5">
        <f>(E2536+E2537)*B3799</f>
        <v>13.5</v>
      </c>
    </row>
    <row r="2541" spans="1:6" x14ac:dyDescent="0.25">
      <c r="A2541" s="11" t="s">
        <v>1219</v>
      </c>
      <c r="B2541" s="11" t="s">
        <v>21</v>
      </c>
      <c r="D2541" s="4" t="s">
        <v>22</v>
      </c>
      <c r="E2541" s="5">
        <f>E2535*B3803</f>
        <v>8958.8256000000001</v>
      </c>
    </row>
    <row r="2543" spans="1:6" x14ac:dyDescent="0.25">
      <c r="A2543" s="6" t="s">
        <v>1222</v>
      </c>
      <c r="E2543" s="5">
        <f>SUM(E2535:E2541)</f>
        <v>50749.226599999995</v>
      </c>
    </row>
    <row r="2545" spans="1:5" x14ac:dyDescent="0.25">
      <c r="A2545" s="6" t="s">
        <v>1223</v>
      </c>
    </row>
    <row r="2546" spans="1:5" x14ac:dyDescent="0.25">
      <c r="A2546" s="6" t="s">
        <v>12</v>
      </c>
    </row>
    <row r="2547" spans="1:5" x14ac:dyDescent="0.25">
      <c r="A2547" s="6" t="s">
        <v>1224</v>
      </c>
      <c r="B2547" s="6" t="s">
        <v>53</v>
      </c>
      <c r="D2547" s="4" t="s">
        <v>54</v>
      </c>
      <c r="E2547" s="5">
        <v>58754</v>
      </c>
    </row>
    <row r="2548" spans="1:5" x14ac:dyDescent="0.25">
      <c r="A2548" s="6" t="s">
        <v>1224</v>
      </c>
      <c r="B2548" s="11" t="s">
        <v>14</v>
      </c>
      <c r="D2548" s="4" t="s">
        <v>15</v>
      </c>
      <c r="E2548" s="5">
        <v>29914</v>
      </c>
    </row>
    <row r="2549" spans="1:5" x14ac:dyDescent="0.25">
      <c r="A2549" s="6" t="s">
        <v>1224</v>
      </c>
      <c r="B2549" s="11" t="s">
        <v>32</v>
      </c>
      <c r="D2549" s="4" t="s">
        <v>33</v>
      </c>
      <c r="E2549" s="5">
        <f>3567-3567</f>
        <v>0</v>
      </c>
    </row>
    <row r="2550" spans="1:5" x14ac:dyDescent="0.25">
      <c r="A2550" s="6" t="s">
        <v>1224</v>
      </c>
      <c r="B2550" s="11" t="s">
        <v>17</v>
      </c>
      <c r="D2550" s="4" t="s">
        <v>18</v>
      </c>
      <c r="E2550" s="5">
        <f>E2548*B3801</f>
        <v>1854.6679999999999</v>
      </c>
    </row>
    <row r="2551" spans="1:5" x14ac:dyDescent="0.25">
      <c r="A2551" s="6" t="s">
        <v>1224</v>
      </c>
      <c r="B2551" s="6" t="s">
        <v>19</v>
      </c>
      <c r="D2551" s="4" t="s">
        <v>20</v>
      </c>
      <c r="E2551" s="5">
        <f>SUM(E2547:E2549)*B3798</f>
        <v>1285.6860000000001</v>
      </c>
    </row>
    <row r="2552" spans="1:5" x14ac:dyDescent="0.25">
      <c r="A2552" s="6" t="s">
        <v>1224</v>
      </c>
      <c r="B2552" s="11" t="s">
        <v>40</v>
      </c>
      <c r="D2552" s="4" t="s">
        <v>60</v>
      </c>
      <c r="E2552" s="5">
        <f>SUM(E2547:E2549)*B3799</f>
        <v>2660.04</v>
      </c>
    </row>
    <row r="2553" spans="1:5" x14ac:dyDescent="0.25">
      <c r="A2553" s="6" t="s">
        <v>1224</v>
      </c>
      <c r="B2553" s="11" t="s">
        <v>21</v>
      </c>
      <c r="D2553" s="4" t="s">
        <v>22</v>
      </c>
      <c r="E2553" s="5">
        <f>E2548*B3803</f>
        <v>6981.9276</v>
      </c>
    </row>
    <row r="2555" spans="1:5" x14ac:dyDescent="0.25">
      <c r="A2555" s="6" t="s">
        <v>1225</v>
      </c>
      <c r="B2555" s="6" t="s">
        <v>4</v>
      </c>
      <c r="C2555" s="6" t="s">
        <v>4</v>
      </c>
      <c r="D2555" s="4" t="s">
        <v>4</v>
      </c>
      <c r="E2555" s="5">
        <f>SUM(E2547:E2553)</f>
        <v>101450.3216</v>
      </c>
    </row>
    <row r="2556" spans="1:5" x14ac:dyDescent="0.25">
      <c r="A2556" s="6"/>
      <c r="B2556" s="6"/>
      <c r="C2556" s="6"/>
    </row>
    <row r="2557" spans="1:5" x14ac:dyDescent="0.25">
      <c r="A2557" s="6" t="s">
        <v>1226</v>
      </c>
    </row>
    <row r="2558" spans="1:5" x14ac:dyDescent="0.25">
      <c r="A2558" s="6"/>
    </row>
    <row r="2559" spans="1:5" x14ac:dyDescent="0.25">
      <c r="A2559" s="11" t="s">
        <v>1227</v>
      </c>
      <c r="B2559" s="12" t="s">
        <v>53</v>
      </c>
      <c r="D2559" s="4" t="s">
        <v>54</v>
      </c>
      <c r="E2559" s="5">
        <v>14444</v>
      </c>
    </row>
    <row r="2560" spans="1:5" x14ac:dyDescent="0.25">
      <c r="A2560" s="11" t="s">
        <v>1227</v>
      </c>
      <c r="B2560" s="12" t="s">
        <v>19</v>
      </c>
      <c r="D2560" s="4" t="s">
        <v>20</v>
      </c>
      <c r="E2560" s="5">
        <f>E2559*B3798</f>
        <v>209.43800000000002</v>
      </c>
    </row>
    <row r="2561" spans="1:5" x14ac:dyDescent="0.25">
      <c r="A2561" s="11" t="s">
        <v>1227</v>
      </c>
      <c r="B2561" s="12" t="s">
        <v>40</v>
      </c>
      <c r="D2561" s="4" t="s">
        <v>60</v>
      </c>
      <c r="E2561" s="5">
        <f>E2559*B3799</f>
        <v>433.32</v>
      </c>
    </row>
    <row r="2562" spans="1:5" x14ac:dyDescent="0.25">
      <c r="A2562" s="6"/>
      <c r="B2562" s="6"/>
      <c r="C2562" s="6"/>
    </row>
    <row r="2563" spans="1:5" x14ac:dyDescent="0.25">
      <c r="A2563" s="6" t="s">
        <v>394</v>
      </c>
      <c r="B2563" s="6"/>
      <c r="C2563" s="6"/>
      <c r="E2563" s="5">
        <f>SUM(E2559:E2561)</f>
        <v>15086.758</v>
      </c>
    </row>
    <row r="2564" spans="1:5" x14ac:dyDescent="0.25">
      <c r="A2564" s="6"/>
      <c r="B2564" s="6"/>
      <c r="C2564" s="6"/>
    </row>
    <row r="2566" spans="1:5" hidden="1" x14ac:dyDescent="0.25">
      <c r="A2566" s="6" t="s">
        <v>1228</v>
      </c>
    </row>
    <row r="2567" spans="1:5" hidden="1" x14ac:dyDescent="0.25">
      <c r="A2567" s="6" t="s">
        <v>12</v>
      </c>
    </row>
    <row r="2568" spans="1:5" hidden="1" x14ac:dyDescent="0.25">
      <c r="A2568" s="6" t="s">
        <v>1227</v>
      </c>
      <c r="B2568" s="6" t="s">
        <v>53</v>
      </c>
      <c r="D2568" s="4" t="s">
        <v>54</v>
      </c>
      <c r="E2568" s="5">
        <v>0</v>
      </c>
    </row>
    <row r="2569" spans="1:5" hidden="1" x14ac:dyDescent="0.25">
      <c r="A2569" s="6" t="s">
        <v>1227</v>
      </c>
      <c r="B2569" s="6" t="s">
        <v>19</v>
      </c>
      <c r="D2569" s="4" t="s">
        <v>20</v>
      </c>
      <c r="E2569" s="5">
        <f>E2568*B3798</f>
        <v>0</v>
      </c>
    </row>
    <row r="2570" spans="1:5" hidden="1" x14ac:dyDescent="0.25">
      <c r="A2570" s="6" t="s">
        <v>1227</v>
      </c>
      <c r="B2570" s="11" t="s">
        <v>40</v>
      </c>
      <c r="D2570" s="4" t="s">
        <v>60</v>
      </c>
      <c r="E2570" s="5">
        <f>E2568*B3799</f>
        <v>0</v>
      </c>
    </row>
    <row r="2571" spans="1:5" hidden="1" x14ac:dyDescent="0.25">
      <c r="A2571" s="6" t="s">
        <v>1227</v>
      </c>
      <c r="B2571" s="6" t="s">
        <v>46</v>
      </c>
      <c r="D2571" s="4" t="s">
        <v>47</v>
      </c>
    </row>
    <row r="2572" spans="1:5" hidden="1" x14ac:dyDescent="0.25">
      <c r="A2572" s="6" t="s">
        <v>1227</v>
      </c>
      <c r="B2572" s="6" t="s">
        <v>690</v>
      </c>
      <c r="D2572" s="4" t="s">
        <v>691</v>
      </c>
    </row>
    <row r="2573" spans="1:5" hidden="1" x14ac:dyDescent="0.25">
      <c r="A2573" s="6" t="s">
        <v>1227</v>
      </c>
      <c r="B2573" s="6" t="s">
        <v>498</v>
      </c>
      <c r="D2573" s="4" t="s">
        <v>499</v>
      </c>
    </row>
    <row r="2574" spans="1:5" hidden="1" x14ac:dyDescent="0.25">
      <c r="A2574" s="6" t="s">
        <v>1227</v>
      </c>
      <c r="B2574" s="6" t="s">
        <v>1155</v>
      </c>
      <c r="D2574" s="4" t="s">
        <v>1156</v>
      </c>
    </row>
    <row r="2575" spans="1:5" hidden="1" x14ac:dyDescent="0.25"/>
    <row r="2576" spans="1:5" hidden="1" x14ac:dyDescent="0.25">
      <c r="A2576" s="6" t="s">
        <v>1229</v>
      </c>
      <c r="B2576" s="6" t="s">
        <v>4</v>
      </c>
      <c r="C2576" s="6" t="s">
        <v>4</v>
      </c>
      <c r="D2576" s="4" t="s">
        <v>4</v>
      </c>
      <c r="E2576" s="5">
        <f>SUM(E2568:E2574)</f>
        <v>0</v>
      </c>
    </row>
    <row r="2577" spans="1:5" hidden="1" x14ac:dyDescent="0.25"/>
    <row r="2578" spans="1:5" x14ac:dyDescent="0.25">
      <c r="A2578" s="6" t="s">
        <v>1230</v>
      </c>
    </row>
    <row r="2579" spans="1:5" x14ac:dyDescent="0.25">
      <c r="A2579" s="6" t="s">
        <v>12</v>
      </c>
    </row>
    <row r="2580" spans="1:5" x14ac:dyDescent="0.25">
      <c r="A2580" s="6" t="s">
        <v>1231</v>
      </c>
      <c r="B2580" s="6" t="s">
        <v>53</v>
      </c>
      <c r="D2580" s="4" t="s">
        <v>54</v>
      </c>
      <c r="E2580" s="5">
        <v>139972</v>
      </c>
    </row>
    <row r="2581" spans="1:5" x14ac:dyDescent="0.25">
      <c r="A2581" s="6" t="s">
        <v>1231</v>
      </c>
      <c r="B2581" s="6" t="s">
        <v>14</v>
      </c>
      <c r="D2581" s="4" t="s">
        <v>15</v>
      </c>
      <c r="E2581" s="5">
        <v>31279</v>
      </c>
    </row>
    <row r="2582" spans="1:5" x14ac:dyDescent="0.25">
      <c r="A2582" s="6" t="s">
        <v>1231</v>
      </c>
      <c r="B2582" s="6" t="s">
        <v>17</v>
      </c>
      <c r="D2582" s="4" t="s">
        <v>18</v>
      </c>
      <c r="E2582" s="5">
        <f>E2581*B3801</f>
        <v>1939.298</v>
      </c>
    </row>
    <row r="2583" spans="1:5" x14ac:dyDescent="0.25">
      <c r="A2583" s="6" t="s">
        <v>1231</v>
      </c>
      <c r="B2583" s="6" t="s">
        <v>19</v>
      </c>
      <c r="D2583" s="4" t="s">
        <v>20</v>
      </c>
      <c r="E2583" s="5">
        <f>SUM(E2580:E2581)*B3802</f>
        <v>2483.1395000000002</v>
      </c>
    </row>
    <row r="2584" spans="1:5" x14ac:dyDescent="0.25">
      <c r="A2584" s="6" t="s">
        <v>1231</v>
      </c>
      <c r="B2584" s="11" t="s">
        <v>40</v>
      </c>
      <c r="D2584" s="4" t="s">
        <v>60</v>
      </c>
      <c r="E2584" s="5">
        <f>E2580*B3799</f>
        <v>4199.16</v>
      </c>
    </row>
    <row r="2585" spans="1:5" x14ac:dyDescent="0.25">
      <c r="A2585" s="6" t="s">
        <v>1231</v>
      </c>
      <c r="B2585" s="6" t="s">
        <v>21</v>
      </c>
      <c r="D2585" s="4" t="s">
        <v>22</v>
      </c>
      <c r="E2585" s="5">
        <f>E2581*B3803</f>
        <v>7300.5186000000003</v>
      </c>
    </row>
    <row r="2586" spans="1:5" x14ac:dyDescent="0.25">
      <c r="A2586" s="6" t="s">
        <v>1231</v>
      </c>
      <c r="B2586" s="6" t="s">
        <v>88</v>
      </c>
      <c r="D2586" s="4" t="s">
        <v>523</v>
      </c>
    </row>
    <row r="2587" spans="1:5" x14ac:dyDescent="0.25">
      <c r="A2587" s="6" t="s">
        <v>1231</v>
      </c>
      <c r="B2587" s="6" t="s">
        <v>70</v>
      </c>
      <c r="D2587" s="4" t="s">
        <v>471</v>
      </c>
    </row>
    <row r="2588" spans="1:5" x14ac:dyDescent="0.25">
      <c r="A2588" s="6" t="s">
        <v>1231</v>
      </c>
      <c r="B2588" s="6" t="s">
        <v>46</v>
      </c>
      <c r="D2588" s="4" t="s">
        <v>47</v>
      </c>
    </row>
    <row r="2589" spans="1:5" x14ac:dyDescent="0.25">
      <c r="A2589" s="6" t="s">
        <v>1231</v>
      </c>
      <c r="B2589" s="6" t="s">
        <v>48</v>
      </c>
      <c r="D2589" s="4" t="s">
        <v>761</v>
      </c>
    </row>
    <row r="2591" spans="1:5" x14ac:dyDescent="0.25">
      <c r="A2591" s="6" t="s">
        <v>1232</v>
      </c>
      <c r="B2591" s="6" t="s">
        <v>4</v>
      </c>
      <c r="C2591" s="6" t="s">
        <v>4</v>
      </c>
      <c r="D2591" s="4" t="s">
        <v>4</v>
      </c>
      <c r="E2591" s="5">
        <f>SUM(E2580:E2589)</f>
        <v>187173.11610000001</v>
      </c>
    </row>
    <row r="2593" spans="1:6" x14ac:dyDescent="0.25">
      <c r="A2593" s="6" t="s">
        <v>1233</v>
      </c>
    </row>
    <row r="2594" spans="1:6" x14ac:dyDescent="0.25">
      <c r="A2594" s="6" t="s">
        <v>12</v>
      </c>
    </row>
    <row r="2595" spans="1:6" x14ac:dyDescent="0.25">
      <c r="A2595" s="6" t="s">
        <v>1234</v>
      </c>
      <c r="B2595" s="6" t="s">
        <v>14</v>
      </c>
      <c r="D2595" s="4" t="s">
        <v>15</v>
      </c>
      <c r="E2595" s="5">
        <v>138926</v>
      </c>
    </row>
    <row r="2596" spans="1:6" x14ac:dyDescent="0.25">
      <c r="A2596" s="6" t="s">
        <v>1234</v>
      </c>
      <c r="B2596" s="11" t="s">
        <v>25</v>
      </c>
      <c r="D2596" s="4" t="s">
        <v>58</v>
      </c>
      <c r="E2596" s="5">
        <f>500+250+500+2700</f>
        <v>3950</v>
      </c>
    </row>
    <row r="2597" spans="1:6" x14ac:dyDescent="0.25">
      <c r="A2597" s="6" t="s">
        <v>1234</v>
      </c>
      <c r="B2597" s="6" t="s">
        <v>36</v>
      </c>
      <c r="D2597" s="4" t="s">
        <v>157</v>
      </c>
      <c r="E2597" s="5">
        <f>2000+1300+5000+3700</f>
        <v>12000</v>
      </c>
    </row>
    <row r="2598" spans="1:6" x14ac:dyDescent="0.25">
      <c r="A2598" s="6" t="s">
        <v>1234</v>
      </c>
      <c r="B2598" s="6" t="s">
        <v>17</v>
      </c>
      <c r="D2598" s="4" t="s">
        <v>18</v>
      </c>
      <c r="E2598" s="5">
        <f>SUM(E2595:E2597)*B3801</f>
        <v>9602.3119999999999</v>
      </c>
    </row>
    <row r="2599" spans="1:6" x14ac:dyDescent="0.25">
      <c r="A2599" s="6" t="s">
        <v>1234</v>
      </c>
      <c r="B2599" s="6" t="s">
        <v>19</v>
      </c>
      <c r="D2599" s="4" t="s">
        <v>20</v>
      </c>
      <c r="E2599" s="5">
        <f>SUM(E2595:E2597)*B3802</f>
        <v>2245.7020000000002</v>
      </c>
      <c r="F2599" s="4" t="s">
        <v>4</v>
      </c>
    </row>
    <row r="2600" spans="1:6" x14ac:dyDescent="0.25">
      <c r="A2600" s="6" t="s">
        <v>1234</v>
      </c>
      <c r="B2600" s="6" t="s">
        <v>21</v>
      </c>
      <c r="D2600" s="4" t="s">
        <v>22</v>
      </c>
      <c r="E2600" s="5">
        <f>SUM(E2595:E2597)*B3803</f>
        <v>36148.058400000002</v>
      </c>
      <c r="F2600" s="4" t="s">
        <v>4</v>
      </c>
    </row>
    <row r="2602" spans="1:6" x14ac:dyDescent="0.25">
      <c r="A2602" s="6" t="s">
        <v>1235</v>
      </c>
      <c r="B2602" s="6" t="s">
        <v>4</v>
      </c>
      <c r="C2602" s="6" t="s">
        <v>4</v>
      </c>
      <c r="D2602" s="4" t="s">
        <v>4</v>
      </c>
      <c r="E2602" s="5">
        <f>SUM(E2595:E2600)</f>
        <v>202872.0724</v>
      </c>
    </row>
    <row r="2603" spans="1:6" x14ac:dyDescent="0.25">
      <c r="A2603" s="6"/>
      <c r="B2603" s="6"/>
      <c r="C2603" s="6"/>
    </row>
    <row r="2604" spans="1:6" x14ac:dyDescent="0.25">
      <c r="A2604" s="6" t="s">
        <v>1236</v>
      </c>
    </row>
    <row r="2605" spans="1:6" x14ac:dyDescent="0.25">
      <c r="A2605" s="6" t="s">
        <v>12</v>
      </c>
    </row>
    <row r="2606" spans="1:6" x14ac:dyDescent="0.25">
      <c r="A2606" s="6" t="s">
        <v>1237</v>
      </c>
      <c r="B2606" s="6" t="s">
        <v>1168</v>
      </c>
      <c r="D2606" s="4" t="s">
        <v>1169</v>
      </c>
      <c r="E2606" s="5">
        <v>2800</v>
      </c>
    </row>
    <row r="2608" spans="1:6" x14ac:dyDescent="0.25">
      <c r="A2608" s="6" t="s">
        <v>1238</v>
      </c>
      <c r="B2608" s="6" t="s">
        <v>4</v>
      </c>
      <c r="C2608" s="6" t="s">
        <v>4</v>
      </c>
      <c r="D2608" s="4" t="s">
        <v>4</v>
      </c>
      <c r="E2608" s="5">
        <f>E2606</f>
        <v>2800</v>
      </c>
    </row>
    <row r="2609" spans="1:6" hidden="1" x14ac:dyDescent="0.25">
      <c r="A2609" s="6"/>
      <c r="B2609" s="6"/>
      <c r="C2609" s="6"/>
    </row>
    <row r="2610" spans="1:6" hidden="1" x14ac:dyDescent="0.25">
      <c r="A2610" s="6" t="s">
        <v>1239</v>
      </c>
    </row>
    <row r="2611" spans="1:6" hidden="1" x14ac:dyDescent="0.25">
      <c r="A2611" s="6" t="s">
        <v>12</v>
      </c>
    </row>
    <row r="2612" spans="1:6" hidden="1" x14ac:dyDescent="0.25">
      <c r="A2612" s="6" t="s">
        <v>1240</v>
      </c>
      <c r="B2612" s="11" t="s">
        <v>1034</v>
      </c>
      <c r="D2612" s="4" t="s">
        <v>1241</v>
      </c>
      <c r="E2612" s="5">
        <v>0</v>
      </c>
      <c r="F2612" s="4" t="s">
        <v>1242</v>
      </c>
    </row>
    <row r="2613" spans="1:6" hidden="1" x14ac:dyDescent="0.25"/>
    <row r="2614" spans="1:6" hidden="1" x14ac:dyDescent="0.25">
      <c r="A2614" s="6" t="s">
        <v>1243</v>
      </c>
      <c r="B2614" s="6" t="s">
        <v>4</v>
      </c>
      <c r="C2614" s="6" t="s">
        <v>4</v>
      </c>
      <c r="D2614" s="4" t="s">
        <v>4</v>
      </c>
      <c r="E2614" s="5">
        <f>E2612</f>
        <v>0</v>
      </c>
    </row>
    <row r="2616" spans="1:6" x14ac:dyDescent="0.25">
      <c r="A2616" s="6" t="s">
        <v>1244</v>
      </c>
    </row>
    <row r="2617" spans="1:6" x14ac:dyDescent="0.25">
      <c r="A2617" s="6" t="s">
        <v>12</v>
      </c>
    </row>
    <row r="2618" spans="1:6" x14ac:dyDescent="0.25">
      <c r="A2618" s="6" t="s">
        <v>1245</v>
      </c>
      <c r="B2618" s="6" t="s">
        <v>53</v>
      </c>
      <c r="D2618" s="4" t="s">
        <v>54</v>
      </c>
      <c r="E2618" s="5">
        <v>566750</v>
      </c>
    </row>
    <row r="2619" spans="1:6" x14ac:dyDescent="0.25">
      <c r="A2619" s="6" t="s">
        <v>1245</v>
      </c>
      <c r="B2619" s="11" t="s">
        <v>249</v>
      </c>
      <c r="D2619" s="4" t="s">
        <v>250</v>
      </c>
      <c r="E2619" s="5">
        <v>2000</v>
      </c>
    </row>
    <row r="2620" spans="1:6" x14ac:dyDescent="0.25">
      <c r="A2620" s="6" t="s">
        <v>1245</v>
      </c>
      <c r="B2620" s="6" t="s">
        <v>14</v>
      </c>
      <c r="D2620" s="4" t="s">
        <v>15</v>
      </c>
      <c r="E2620" s="5">
        <v>47207</v>
      </c>
    </row>
    <row r="2621" spans="1:6" x14ac:dyDescent="0.25">
      <c r="A2621" s="6" t="s">
        <v>1245</v>
      </c>
      <c r="B2621" s="6" t="s">
        <v>17</v>
      </c>
      <c r="D2621" s="4" t="s">
        <v>18</v>
      </c>
      <c r="E2621" s="5">
        <f>E2620*B3801</f>
        <v>2926.8339999999998</v>
      </c>
      <c r="F2621" s="4" t="s">
        <v>4</v>
      </c>
    </row>
    <row r="2622" spans="1:6" x14ac:dyDescent="0.25">
      <c r="A2622" s="6" t="s">
        <v>1245</v>
      </c>
      <c r="B2622" s="6" t="s">
        <v>19</v>
      </c>
      <c r="D2622" s="4" t="s">
        <v>20</v>
      </c>
      <c r="E2622" s="5">
        <f>SUM(E2618:E2620)*B3802</f>
        <v>8931.3765000000003</v>
      </c>
      <c r="F2622" s="4" t="s">
        <v>4</v>
      </c>
    </row>
    <row r="2623" spans="1:6" x14ac:dyDescent="0.25">
      <c r="A2623" s="6" t="s">
        <v>1245</v>
      </c>
      <c r="B2623" s="11" t="s">
        <v>40</v>
      </c>
      <c r="D2623" s="4" t="s">
        <v>60</v>
      </c>
      <c r="E2623" s="5">
        <f>E2618*B3799</f>
        <v>17002.5</v>
      </c>
    </row>
    <row r="2624" spans="1:6" x14ac:dyDescent="0.25">
      <c r="A2624" s="6" t="s">
        <v>1245</v>
      </c>
      <c r="B2624" s="6" t="s">
        <v>21</v>
      </c>
      <c r="D2624" s="4" t="s">
        <v>22</v>
      </c>
      <c r="E2624" s="5">
        <f>E2620*B3803-7.38</f>
        <v>11010.7338</v>
      </c>
      <c r="F2624" s="4" t="s">
        <v>4</v>
      </c>
    </row>
    <row r="2625" spans="1:6" x14ac:dyDescent="0.25">
      <c r="A2625" s="6" t="s">
        <v>1245</v>
      </c>
      <c r="B2625" s="6" t="s">
        <v>44</v>
      </c>
      <c r="D2625" s="4" t="s">
        <v>120</v>
      </c>
      <c r="F2625" s="4" t="s">
        <v>4</v>
      </c>
    </row>
    <row r="2626" spans="1:6" x14ac:dyDescent="0.25">
      <c r="A2626" s="6" t="s">
        <v>1245</v>
      </c>
      <c r="B2626" s="6" t="s">
        <v>719</v>
      </c>
      <c r="D2626" s="4" t="s">
        <v>720</v>
      </c>
      <c r="F2626" s="4" t="s">
        <v>4</v>
      </c>
    </row>
    <row r="2627" spans="1:6" x14ac:dyDescent="0.25">
      <c r="A2627" s="6" t="s">
        <v>1245</v>
      </c>
      <c r="B2627" s="6" t="s">
        <v>1246</v>
      </c>
      <c r="D2627" s="4" t="s">
        <v>1247</v>
      </c>
      <c r="F2627" s="4" t="s">
        <v>4</v>
      </c>
    </row>
    <row r="2628" spans="1:6" x14ac:dyDescent="0.25">
      <c r="A2628" s="6" t="s">
        <v>1245</v>
      </c>
      <c r="B2628" s="6" t="s">
        <v>46</v>
      </c>
      <c r="D2628" s="4" t="s">
        <v>47</v>
      </c>
      <c r="E2628" s="5">
        <v>39984</v>
      </c>
      <c r="F2628" s="4" t="s">
        <v>789</v>
      </c>
    </row>
    <row r="2629" spans="1:6" x14ac:dyDescent="0.25">
      <c r="A2629" s="6" t="s">
        <v>1245</v>
      </c>
      <c r="B2629" s="6" t="s">
        <v>94</v>
      </c>
      <c r="D2629" s="4" t="s">
        <v>692</v>
      </c>
    </row>
    <row r="2630" spans="1:6" x14ac:dyDescent="0.25">
      <c r="A2630" s="6" t="s">
        <v>1245</v>
      </c>
      <c r="B2630" s="6" t="s">
        <v>1155</v>
      </c>
      <c r="D2630" s="4" t="s">
        <v>1156</v>
      </c>
      <c r="F2630" s="12"/>
    </row>
    <row r="2631" spans="1:6" x14ac:dyDescent="0.25">
      <c r="A2631" s="6" t="s">
        <v>1245</v>
      </c>
      <c r="B2631" s="11" t="s">
        <v>78</v>
      </c>
      <c r="D2631" s="4" t="s">
        <v>730</v>
      </c>
      <c r="E2631" s="5">
        <v>0</v>
      </c>
    </row>
    <row r="2632" spans="1:6" x14ac:dyDescent="0.25">
      <c r="A2632" s="6" t="s">
        <v>1245</v>
      </c>
      <c r="B2632" s="6" t="s">
        <v>762</v>
      </c>
      <c r="D2632" s="4" t="s">
        <v>763</v>
      </c>
    </row>
    <row r="2633" spans="1:6" x14ac:dyDescent="0.25">
      <c r="A2633" s="6" t="s">
        <v>1245</v>
      </c>
      <c r="B2633" s="11" t="s">
        <v>27</v>
      </c>
      <c r="D2633" s="4" t="s">
        <v>28</v>
      </c>
      <c r="E2633" s="5">
        <v>0</v>
      </c>
    </row>
    <row r="2635" spans="1:6" x14ac:dyDescent="0.25">
      <c r="A2635" s="6" t="s">
        <v>1248</v>
      </c>
      <c r="B2635" s="6" t="s">
        <v>4</v>
      </c>
      <c r="C2635" s="6" t="s">
        <v>4</v>
      </c>
      <c r="D2635" s="4" t="s">
        <v>4</v>
      </c>
      <c r="E2635" s="5">
        <f>SUM(E2618:E2633)</f>
        <v>695812.44430000009</v>
      </c>
    </row>
    <row r="2636" spans="1:6" x14ac:dyDescent="0.25">
      <c r="A2636" s="6"/>
      <c r="B2636" s="6"/>
      <c r="C2636" s="6"/>
    </row>
    <row r="2637" spans="1:6" x14ac:dyDescent="0.25">
      <c r="A2637" s="11" t="s">
        <v>1249</v>
      </c>
      <c r="B2637" s="11" t="s">
        <v>53</v>
      </c>
      <c r="C2637" s="6"/>
      <c r="D2637" s="4" t="s">
        <v>54</v>
      </c>
      <c r="E2637" s="5">
        <v>74710</v>
      </c>
    </row>
    <row r="2638" spans="1:6" x14ac:dyDescent="0.25">
      <c r="A2638" s="11" t="s">
        <v>1249</v>
      </c>
      <c r="B2638" s="11" t="s">
        <v>55</v>
      </c>
      <c r="C2638" s="6"/>
      <c r="D2638" s="4" t="s">
        <v>56</v>
      </c>
      <c r="E2638" s="5">
        <v>7673</v>
      </c>
    </row>
    <row r="2639" spans="1:6" x14ac:dyDescent="0.25">
      <c r="A2639" s="11" t="s">
        <v>1249</v>
      </c>
      <c r="B2639" s="11" t="s">
        <v>32</v>
      </c>
      <c r="C2639" s="6"/>
      <c r="D2639" s="4" t="s">
        <v>33</v>
      </c>
      <c r="E2639" s="5">
        <v>7583</v>
      </c>
    </row>
    <row r="2640" spans="1:6" x14ac:dyDescent="0.25">
      <c r="A2640" s="11" t="s">
        <v>1249</v>
      </c>
      <c r="B2640" s="11" t="s">
        <v>17</v>
      </c>
      <c r="C2640" s="6"/>
      <c r="D2640" s="4" t="s">
        <v>18</v>
      </c>
      <c r="E2640" s="5">
        <f>SUM(E2637:E2639)*B3801</f>
        <v>5577.8919999999998</v>
      </c>
    </row>
    <row r="2641" spans="1:5" x14ac:dyDescent="0.25">
      <c r="A2641" s="11" t="s">
        <v>1249</v>
      </c>
      <c r="B2641" s="11" t="s">
        <v>19</v>
      </c>
      <c r="C2641" s="6"/>
      <c r="D2641" s="4" t="s">
        <v>20</v>
      </c>
      <c r="E2641" s="5">
        <f>SUM(E2637:E2639)*B3802</f>
        <v>1304.5070000000001</v>
      </c>
    </row>
    <row r="2642" spans="1:5" x14ac:dyDescent="0.25">
      <c r="A2642" s="11" t="s">
        <v>1249</v>
      </c>
      <c r="B2642" s="11" t="s">
        <v>40</v>
      </c>
      <c r="C2642" s="6"/>
      <c r="D2642" s="4" t="s">
        <v>60</v>
      </c>
      <c r="E2642" s="5">
        <f>SUM(E2637:E2639)*B3799</f>
        <v>2698.98</v>
      </c>
    </row>
    <row r="2643" spans="1:5" x14ac:dyDescent="0.25">
      <c r="A2643" s="6"/>
      <c r="B2643" s="11"/>
      <c r="C2643" s="6"/>
    </row>
    <row r="2644" spans="1:5" x14ac:dyDescent="0.25">
      <c r="A2644" s="6" t="s">
        <v>394</v>
      </c>
      <c r="B2644" s="11"/>
      <c r="C2644" s="6"/>
      <c r="E2644" s="5">
        <f>SUM(E2637:E2642)</f>
        <v>99547.378999999986</v>
      </c>
    </row>
    <row r="2646" spans="1:5" x14ac:dyDescent="0.25">
      <c r="A2646" s="6" t="s">
        <v>1250</v>
      </c>
    </row>
    <row r="2647" spans="1:5" x14ac:dyDescent="0.25">
      <c r="A2647" s="6" t="s">
        <v>12</v>
      </c>
    </row>
    <row r="2648" spans="1:5" x14ac:dyDescent="0.25">
      <c r="A2648" s="6" t="s">
        <v>1251</v>
      </c>
      <c r="B2648" s="6" t="s">
        <v>53</v>
      </c>
      <c r="D2648" s="4" t="s">
        <v>54</v>
      </c>
      <c r="E2648" s="5">
        <v>105478</v>
      </c>
    </row>
    <row r="2649" spans="1:5" x14ac:dyDescent="0.25">
      <c r="A2649" s="6" t="s">
        <v>1251</v>
      </c>
      <c r="B2649" s="11" t="s">
        <v>34</v>
      </c>
      <c r="D2649" s="4" t="s">
        <v>57</v>
      </c>
      <c r="E2649" s="5">
        <v>1355.46</v>
      </c>
    </row>
    <row r="2650" spans="1:5" x14ac:dyDescent="0.25">
      <c r="A2650" s="6" t="s">
        <v>1251</v>
      </c>
      <c r="B2650" s="6" t="s">
        <v>14</v>
      </c>
      <c r="D2650" s="4" t="s">
        <v>15</v>
      </c>
      <c r="E2650" s="5">
        <v>0</v>
      </c>
    </row>
    <row r="2651" spans="1:5" x14ac:dyDescent="0.25">
      <c r="A2651" s="6" t="s">
        <v>1251</v>
      </c>
      <c r="B2651" s="6" t="s">
        <v>17</v>
      </c>
      <c r="D2651" s="4" t="s">
        <v>18</v>
      </c>
      <c r="E2651" s="5">
        <f>E2650*B3801</f>
        <v>0</v>
      </c>
    </row>
    <row r="2652" spans="1:5" x14ac:dyDescent="0.25">
      <c r="A2652" s="6" t="s">
        <v>1251</v>
      </c>
      <c r="B2652" s="6" t="s">
        <v>19</v>
      </c>
      <c r="D2652" s="4" t="s">
        <v>20</v>
      </c>
      <c r="E2652" s="5">
        <f>SUM(E2648:E2650)*B3802</f>
        <v>1549.0851700000001</v>
      </c>
    </row>
    <row r="2653" spans="1:5" x14ac:dyDescent="0.25">
      <c r="A2653" s="6" t="s">
        <v>1251</v>
      </c>
      <c r="B2653" s="11" t="s">
        <v>40</v>
      </c>
      <c r="D2653" s="4" t="s">
        <v>60</v>
      </c>
      <c r="E2653" s="5">
        <f>SUM(E2648+E2649)*B3799</f>
        <v>3205.0038</v>
      </c>
    </row>
    <row r="2654" spans="1:5" x14ac:dyDescent="0.25">
      <c r="A2654" s="6" t="s">
        <v>1251</v>
      </c>
      <c r="B2654" s="6" t="s">
        <v>21</v>
      </c>
      <c r="D2654" s="4" t="s">
        <v>22</v>
      </c>
      <c r="E2654" s="5">
        <f>E2650*B3803</f>
        <v>0</v>
      </c>
    </row>
    <row r="2656" spans="1:5" x14ac:dyDescent="0.25">
      <c r="A2656" s="6" t="s">
        <v>1252</v>
      </c>
      <c r="B2656" s="6" t="s">
        <v>4</v>
      </c>
      <c r="C2656" s="6" t="s">
        <v>4</v>
      </c>
      <c r="D2656" s="4" t="s">
        <v>4</v>
      </c>
      <c r="E2656" s="5">
        <f>SUM(E2648:E2654)</f>
        <v>111587.54897000002</v>
      </c>
    </row>
    <row r="2657" spans="1:6" hidden="1" x14ac:dyDescent="0.25"/>
    <row r="2658" spans="1:6" hidden="1" x14ac:dyDescent="0.25">
      <c r="A2658" s="6" t="s">
        <v>1253</v>
      </c>
    </row>
    <row r="2659" spans="1:6" hidden="1" x14ac:dyDescent="0.25">
      <c r="A2659" s="6" t="s">
        <v>12</v>
      </c>
    </row>
    <row r="2660" spans="1:6" hidden="1" x14ac:dyDescent="0.25">
      <c r="A2660" s="6" t="s">
        <v>1254</v>
      </c>
      <c r="B2660" s="6" t="s">
        <v>719</v>
      </c>
      <c r="D2660" s="4" t="s">
        <v>720</v>
      </c>
      <c r="E2660" s="5">
        <v>0</v>
      </c>
    </row>
    <row r="2661" spans="1:6" hidden="1" x14ac:dyDescent="0.25"/>
    <row r="2662" spans="1:6" hidden="1" x14ac:dyDescent="0.25">
      <c r="A2662" s="6" t="s">
        <v>785</v>
      </c>
      <c r="B2662" s="6" t="s">
        <v>4</v>
      </c>
      <c r="C2662" s="6" t="s">
        <v>4</v>
      </c>
      <c r="D2662" s="4" t="s">
        <v>4</v>
      </c>
      <c r="E2662" s="5">
        <f>E2660</f>
        <v>0</v>
      </c>
    </row>
    <row r="2664" spans="1:6" x14ac:dyDescent="0.25">
      <c r="A2664" s="6" t="s">
        <v>1255</v>
      </c>
    </row>
    <row r="2665" spans="1:6" x14ac:dyDescent="0.25">
      <c r="A2665" s="6" t="s">
        <v>12</v>
      </c>
    </row>
    <row r="2666" spans="1:6" x14ac:dyDescent="0.25">
      <c r="A2666" s="6" t="s">
        <v>1256</v>
      </c>
      <c r="B2666" s="11" t="s">
        <v>53</v>
      </c>
      <c r="D2666" s="4" t="s">
        <v>54</v>
      </c>
      <c r="E2666" s="5">
        <v>0</v>
      </c>
    </row>
    <row r="2667" spans="1:6" x14ac:dyDescent="0.25">
      <c r="A2667" s="6" t="s">
        <v>1256</v>
      </c>
      <c r="B2667" s="11" t="s">
        <v>55</v>
      </c>
      <c r="D2667" s="4" t="s">
        <v>56</v>
      </c>
      <c r="E2667" s="5">
        <v>0</v>
      </c>
    </row>
    <row r="2668" spans="1:6" x14ac:dyDescent="0.25">
      <c r="A2668" s="6" t="s">
        <v>1256</v>
      </c>
      <c r="B2668" s="6" t="s">
        <v>32</v>
      </c>
      <c r="D2668" s="4" t="s">
        <v>33</v>
      </c>
      <c r="E2668" s="5">
        <f>6286+2714</f>
        <v>9000</v>
      </c>
    </row>
    <row r="2669" spans="1:6" x14ac:dyDescent="0.25">
      <c r="A2669" s="6" t="s">
        <v>1256</v>
      </c>
      <c r="B2669" s="11" t="s">
        <v>34</v>
      </c>
      <c r="D2669" s="4" t="s">
        <v>57</v>
      </c>
      <c r="E2669" s="5">
        <f>1000+1500+743.25+7000</f>
        <v>10243.25</v>
      </c>
      <c r="F2669" s="4" t="s">
        <v>809</v>
      </c>
    </row>
    <row r="2670" spans="1:6" x14ac:dyDescent="0.25">
      <c r="A2670" s="6" t="s">
        <v>1256</v>
      </c>
      <c r="B2670" s="6" t="s">
        <v>254</v>
      </c>
      <c r="D2670" s="4" t="s">
        <v>255</v>
      </c>
      <c r="E2670" s="5">
        <f>25000+18000</f>
        <v>43000</v>
      </c>
    </row>
    <row r="2671" spans="1:6" x14ac:dyDescent="0.25">
      <c r="A2671" s="6" t="s">
        <v>1256</v>
      </c>
      <c r="B2671" s="11" t="s">
        <v>648</v>
      </c>
      <c r="D2671" s="4" t="s">
        <v>15</v>
      </c>
      <c r="E2671" s="5">
        <f>6*34*15</f>
        <v>3060</v>
      </c>
      <c r="F2671" s="4" t="s">
        <v>1185</v>
      </c>
    </row>
    <row r="2672" spans="1:6" x14ac:dyDescent="0.25">
      <c r="A2672" s="6" t="s">
        <v>1256</v>
      </c>
      <c r="B2672" s="6" t="s">
        <v>25</v>
      </c>
      <c r="D2672" s="4" t="s">
        <v>58</v>
      </c>
      <c r="E2672" s="5">
        <f>4500+1000+1500-3060</f>
        <v>3940</v>
      </c>
      <c r="F2672" s="4" t="s">
        <v>1257</v>
      </c>
    </row>
    <row r="2673" spans="1:5" x14ac:dyDescent="0.25">
      <c r="A2673" s="6" t="s">
        <v>1256</v>
      </c>
      <c r="B2673" s="6" t="s">
        <v>17</v>
      </c>
      <c r="D2673" s="4" t="s">
        <v>18</v>
      </c>
      <c r="E2673" s="5">
        <f>(E2671+E2672)*B3801</f>
        <v>434</v>
      </c>
    </row>
    <row r="2674" spans="1:5" x14ac:dyDescent="0.25">
      <c r="A2674" s="6" t="s">
        <v>1256</v>
      </c>
      <c r="B2674" s="6" t="s">
        <v>19</v>
      </c>
      <c r="D2674" s="4" t="s">
        <v>20</v>
      </c>
      <c r="E2674" s="5">
        <f>SUM(E2666:E2672)*B3802</f>
        <v>1004.0271250000001</v>
      </c>
    </row>
    <row r="2675" spans="1:5" x14ac:dyDescent="0.25">
      <c r="A2675" s="6" t="s">
        <v>1256</v>
      </c>
      <c r="B2675" s="11" t="s">
        <v>40</v>
      </c>
      <c r="D2675" s="4" t="s">
        <v>60</v>
      </c>
      <c r="E2675" s="5">
        <f>SUM(E2666:E2670)*B3799</f>
        <v>1867.2974999999999</v>
      </c>
    </row>
    <row r="2676" spans="1:5" x14ac:dyDescent="0.25">
      <c r="A2676" s="6" t="s">
        <v>1256</v>
      </c>
      <c r="B2676" s="6" t="s">
        <v>21</v>
      </c>
      <c r="D2676" s="4" t="s">
        <v>22</v>
      </c>
      <c r="E2676" s="5">
        <f>(E2671+E2672)*B3803</f>
        <v>1633.8</v>
      </c>
    </row>
    <row r="2677" spans="1:5" x14ac:dyDescent="0.25">
      <c r="A2677" s="6" t="s">
        <v>1256</v>
      </c>
      <c r="B2677" s="11" t="s">
        <v>254</v>
      </c>
      <c r="D2677" s="4" t="s">
        <v>255</v>
      </c>
    </row>
    <row r="2679" spans="1:5" x14ac:dyDescent="0.25">
      <c r="A2679" s="6" t="s">
        <v>1258</v>
      </c>
      <c r="B2679" s="6" t="s">
        <v>4</v>
      </c>
      <c r="C2679" s="6" t="s">
        <v>4</v>
      </c>
      <c r="D2679" s="4" t="s">
        <v>4</v>
      </c>
      <c r="E2679" s="5">
        <f>SUM(E2666:E2677)</f>
        <v>74182.374624999997</v>
      </c>
    </row>
    <row r="2681" spans="1:5" x14ac:dyDescent="0.25">
      <c r="A2681" s="6" t="s">
        <v>1259</v>
      </c>
    </row>
    <row r="2682" spans="1:5" x14ac:dyDescent="0.25">
      <c r="A2682" s="6" t="s">
        <v>12</v>
      </c>
    </row>
    <row r="2683" spans="1:5" x14ac:dyDescent="0.25">
      <c r="A2683" s="6" t="s">
        <v>1260</v>
      </c>
      <c r="B2683" s="6" t="s">
        <v>46</v>
      </c>
      <c r="D2683" s="4" t="s">
        <v>47</v>
      </c>
      <c r="E2683" s="5">
        <f>1000-500</f>
        <v>500</v>
      </c>
    </row>
    <row r="2684" spans="1:5" x14ac:dyDescent="0.25">
      <c r="A2684" s="6" t="s">
        <v>1260</v>
      </c>
      <c r="B2684" s="11" t="s">
        <v>94</v>
      </c>
      <c r="D2684" s="4" t="s">
        <v>1261</v>
      </c>
      <c r="E2684" s="5">
        <v>0</v>
      </c>
    </row>
    <row r="2686" spans="1:5" x14ac:dyDescent="0.25">
      <c r="A2686" s="6" t="s">
        <v>1262</v>
      </c>
      <c r="B2686" s="6" t="s">
        <v>4</v>
      </c>
      <c r="C2686" s="6" t="s">
        <v>4</v>
      </c>
      <c r="D2686" s="4" t="s">
        <v>4</v>
      </c>
      <c r="E2686" s="5">
        <f>E2683+E2684</f>
        <v>500</v>
      </c>
    </row>
    <row r="2688" spans="1:5" x14ac:dyDescent="0.25">
      <c r="A2688" s="6" t="s">
        <v>1263</v>
      </c>
    </row>
    <row r="2689" spans="1:5" x14ac:dyDescent="0.25">
      <c r="A2689" s="6" t="s">
        <v>12</v>
      </c>
    </row>
    <row r="2690" spans="1:5" x14ac:dyDescent="0.25">
      <c r="A2690" s="6" t="s">
        <v>1264</v>
      </c>
      <c r="B2690" s="6" t="s">
        <v>32</v>
      </c>
      <c r="D2690" s="4" t="s">
        <v>33</v>
      </c>
      <c r="E2690" s="5">
        <f>3525+75+275</f>
        <v>3875</v>
      </c>
    </row>
    <row r="2691" spans="1:5" x14ac:dyDescent="0.25">
      <c r="A2691" s="6" t="s">
        <v>1264</v>
      </c>
      <c r="B2691" s="11" t="s">
        <v>25</v>
      </c>
      <c r="D2691" s="4" t="s">
        <v>58</v>
      </c>
      <c r="E2691" s="5">
        <f>2625+1075</f>
        <v>3700</v>
      </c>
    </row>
    <row r="2692" spans="1:5" x14ac:dyDescent="0.25">
      <c r="A2692" s="6" t="s">
        <v>1264</v>
      </c>
      <c r="B2692" s="11" t="s">
        <v>17</v>
      </c>
      <c r="D2692" s="4" t="s">
        <v>18</v>
      </c>
      <c r="E2692" s="5">
        <f>E2691*B3801</f>
        <v>229.4</v>
      </c>
    </row>
    <row r="2693" spans="1:5" x14ac:dyDescent="0.25">
      <c r="A2693" s="6" t="s">
        <v>1264</v>
      </c>
      <c r="B2693" s="6" t="s">
        <v>19</v>
      </c>
      <c r="D2693" s="4" t="s">
        <v>20</v>
      </c>
      <c r="E2693" s="5">
        <f>SUM(E2690:E2691)*B3802</f>
        <v>109.83750000000001</v>
      </c>
    </row>
    <row r="2694" spans="1:5" x14ac:dyDescent="0.25">
      <c r="A2694" s="6" t="s">
        <v>1264</v>
      </c>
      <c r="B2694" s="11" t="s">
        <v>40</v>
      </c>
      <c r="D2694" s="4" t="s">
        <v>60</v>
      </c>
      <c r="E2694" s="5">
        <f>E2690*B3799</f>
        <v>116.25</v>
      </c>
    </row>
    <row r="2695" spans="1:5" x14ac:dyDescent="0.25">
      <c r="A2695" s="6" t="s">
        <v>1264</v>
      </c>
      <c r="B2695" s="11" t="s">
        <v>21</v>
      </c>
      <c r="D2695" s="4" t="s">
        <v>22</v>
      </c>
      <c r="E2695" s="5">
        <f>E2691*B3803</f>
        <v>863.58</v>
      </c>
    </row>
    <row r="2697" spans="1:5" x14ac:dyDescent="0.25">
      <c r="A2697" s="6" t="s">
        <v>1265</v>
      </c>
      <c r="B2697" s="6" t="s">
        <v>4</v>
      </c>
      <c r="C2697" s="6" t="s">
        <v>4</v>
      </c>
      <c r="D2697" s="4" t="s">
        <v>4</v>
      </c>
      <c r="E2697" s="5">
        <f>SUM(E2690:E2695)</f>
        <v>8894.0674999999992</v>
      </c>
    </row>
    <row r="2699" spans="1:5" x14ac:dyDescent="0.25">
      <c r="A2699" s="6" t="s">
        <v>1266</v>
      </c>
    </row>
    <row r="2700" spans="1:5" x14ac:dyDescent="0.25">
      <c r="A2700" s="6" t="s">
        <v>12</v>
      </c>
    </row>
    <row r="2701" spans="1:5" x14ac:dyDescent="0.25">
      <c r="A2701" s="11" t="s">
        <v>1267</v>
      </c>
      <c r="B2701" s="11" t="s">
        <v>55</v>
      </c>
      <c r="D2701" s="4" t="s">
        <v>56</v>
      </c>
      <c r="E2701" s="5">
        <v>3633</v>
      </c>
    </row>
    <row r="2702" spans="1:5" x14ac:dyDescent="0.25">
      <c r="A2702" s="11" t="s">
        <v>1267</v>
      </c>
      <c r="B2702" s="11" t="s">
        <v>32</v>
      </c>
      <c r="D2702" s="4" t="s">
        <v>33</v>
      </c>
      <c r="E2702" s="5">
        <v>6109</v>
      </c>
    </row>
    <row r="2703" spans="1:5" x14ac:dyDescent="0.25">
      <c r="A2703" s="11" t="s">
        <v>1267</v>
      </c>
      <c r="B2703" s="11" t="s">
        <v>19</v>
      </c>
      <c r="D2703" s="4" t="s">
        <v>20</v>
      </c>
      <c r="E2703" s="5">
        <f>SUM(E2701:E2702)*B3798</f>
        <v>141.25900000000001</v>
      </c>
    </row>
    <row r="2704" spans="1:5" x14ac:dyDescent="0.25">
      <c r="A2704" s="11" t="s">
        <v>1267</v>
      </c>
      <c r="B2704" s="11" t="s">
        <v>40</v>
      </c>
      <c r="D2704" s="4" t="s">
        <v>60</v>
      </c>
      <c r="E2704" s="5">
        <f>SUM(E2701:E2702)*B3799</f>
        <v>292.26</v>
      </c>
    </row>
    <row r="2706" spans="1:5" x14ac:dyDescent="0.25">
      <c r="A2706" s="6" t="s">
        <v>1268</v>
      </c>
      <c r="E2706" s="5">
        <f>SUM(E2701:E2704)</f>
        <v>10175.519</v>
      </c>
    </row>
    <row r="2708" spans="1:5" hidden="1" x14ac:dyDescent="0.25">
      <c r="A2708" s="6" t="s">
        <v>1269</v>
      </c>
    </row>
    <row r="2709" spans="1:5" hidden="1" x14ac:dyDescent="0.25">
      <c r="A2709" s="6" t="s">
        <v>12</v>
      </c>
    </row>
    <row r="2710" spans="1:5" hidden="1" x14ac:dyDescent="0.25">
      <c r="A2710" s="6" t="s">
        <v>1270</v>
      </c>
      <c r="B2710" s="6" t="s">
        <v>55</v>
      </c>
      <c r="D2710" s="4" t="s">
        <v>56</v>
      </c>
      <c r="E2710" s="5">
        <v>0</v>
      </c>
    </row>
    <row r="2711" spans="1:5" hidden="1" x14ac:dyDescent="0.25">
      <c r="A2711" s="6" t="s">
        <v>1270</v>
      </c>
      <c r="B2711" s="6" t="s">
        <v>19</v>
      </c>
      <c r="D2711" s="4" t="s">
        <v>20</v>
      </c>
      <c r="E2711" s="5">
        <f>E2710*B3798</f>
        <v>0</v>
      </c>
    </row>
    <row r="2712" spans="1:5" hidden="1" x14ac:dyDescent="0.25">
      <c r="A2712" s="6" t="s">
        <v>1270</v>
      </c>
      <c r="B2712" s="11" t="s">
        <v>40</v>
      </c>
      <c r="D2712" s="4" t="s">
        <v>60</v>
      </c>
      <c r="E2712" s="5">
        <f>E2710*B3799</f>
        <v>0</v>
      </c>
    </row>
    <row r="2713" spans="1:5" hidden="1" x14ac:dyDescent="0.25"/>
    <row r="2714" spans="1:5" hidden="1" x14ac:dyDescent="0.25">
      <c r="A2714" s="6" t="s">
        <v>1271</v>
      </c>
      <c r="B2714" s="6" t="s">
        <v>4</v>
      </c>
      <c r="C2714" s="6" t="s">
        <v>4</v>
      </c>
      <c r="D2714" s="4" t="s">
        <v>4</v>
      </c>
      <c r="E2714" s="5">
        <f>E2710+E2711+E2712</f>
        <v>0</v>
      </c>
    </row>
    <row r="2715" spans="1:5" hidden="1" x14ac:dyDescent="0.25"/>
    <row r="2716" spans="1:5" x14ac:dyDescent="0.25">
      <c r="A2716" s="6" t="s">
        <v>1272</v>
      </c>
    </row>
    <row r="2717" spans="1:5" x14ac:dyDescent="0.25">
      <c r="A2717" s="6" t="s">
        <v>12</v>
      </c>
    </row>
    <row r="2718" spans="1:5" x14ac:dyDescent="0.25">
      <c r="A2718" s="6" t="s">
        <v>1273</v>
      </c>
      <c r="B2718" s="11" t="s">
        <v>55</v>
      </c>
      <c r="D2718" s="4" t="s">
        <v>56</v>
      </c>
      <c r="E2718" s="5">
        <v>26537</v>
      </c>
    </row>
    <row r="2719" spans="1:5" x14ac:dyDescent="0.25">
      <c r="A2719" s="6" t="s">
        <v>1273</v>
      </c>
      <c r="B2719" s="6" t="s">
        <v>32</v>
      </c>
      <c r="D2719" s="4" t="s">
        <v>33</v>
      </c>
      <c r="E2719" s="5">
        <v>32341</v>
      </c>
    </row>
    <row r="2720" spans="1:5" x14ac:dyDescent="0.25">
      <c r="A2720" s="6" t="s">
        <v>1273</v>
      </c>
      <c r="B2720" s="11" t="s">
        <v>14</v>
      </c>
      <c r="D2720" s="4" t="s">
        <v>15</v>
      </c>
      <c r="E2720" s="5">
        <v>8359</v>
      </c>
    </row>
    <row r="2721" spans="1:5" x14ac:dyDescent="0.25">
      <c r="A2721" s="6" t="s">
        <v>1273</v>
      </c>
      <c r="B2721" s="11" t="s">
        <v>25</v>
      </c>
      <c r="D2721" s="4" t="s">
        <v>58</v>
      </c>
      <c r="E2721" s="5">
        <f>12*1.5*29+78</f>
        <v>600</v>
      </c>
    </row>
    <row r="2722" spans="1:5" x14ac:dyDescent="0.25">
      <c r="A2722" s="6" t="s">
        <v>1273</v>
      </c>
      <c r="B2722" s="11" t="s">
        <v>17</v>
      </c>
      <c r="D2722" s="4" t="s">
        <v>18</v>
      </c>
      <c r="E2722" s="5">
        <f>E2720+E2721*B3801</f>
        <v>8396.2000000000007</v>
      </c>
    </row>
    <row r="2723" spans="1:5" x14ac:dyDescent="0.25">
      <c r="A2723" s="6" t="s">
        <v>1273</v>
      </c>
      <c r="B2723" s="6" t="s">
        <v>19</v>
      </c>
      <c r="D2723" s="4" t="s">
        <v>20</v>
      </c>
      <c r="E2723" s="5">
        <f>SUM(E2718:E2721)*B3798</f>
        <v>983.63650000000007</v>
      </c>
    </row>
    <row r="2724" spans="1:5" x14ac:dyDescent="0.25">
      <c r="A2724" s="6" t="s">
        <v>1273</v>
      </c>
      <c r="B2724" s="11" t="s">
        <v>40</v>
      </c>
      <c r="D2724" s="4" t="s">
        <v>60</v>
      </c>
      <c r="E2724" s="5">
        <f>SUM(E2718:E2719)*B3799</f>
        <v>1766.34</v>
      </c>
    </row>
    <row r="2725" spans="1:5" x14ac:dyDescent="0.25">
      <c r="A2725" s="6" t="s">
        <v>1273</v>
      </c>
      <c r="B2725" s="11" t="s">
        <v>21</v>
      </c>
      <c r="D2725" s="4" t="s">
        <v>22</v>
      </c>
      <c r="E2725" s="5">
        <f>E2720+E2721*B3803</f>
        <v>8499.0400000000009</v>
      </c>
    </row>
    <row r="2727" spans="1:5" x14ac:dyDescent="0.25">
      <c r="A2727" s="6" t="s">
        <v>1274</v>
      </c>
      <c r="B2727" s="6" t="s">
        <v>4</v>
      </c>
      <c r="C2727" s="6" t="s">
        <v>4</v>
      </c>
      <c r="D2727" s="4" t="s">
        <v>4</v>
      </c>
      <c r="E2727" s="5">
        <f>SUM(E2718:E2725)</f>
        <v>87482.21649999998</v>
      </c>
    </row>
    <row r="2729" spans="1:5" x14ac:dyDescent="0.25">
      <c r="A2729" s="6" t="s">
        <v>1275</v>
      </c>
    </row>
    <row r="2730" spans="1:5" x14ac:dyDescent="0.25">
      <c r="A2730" s="6" t="s">
        <v>12</v>
      </c>
    </row>
    <row r="2731" spans="1:5" x14ac:dyDescent="0.25">
      <c r="A2731" s="6" t="s">
        <v>1276</v>
      </c>
      <c r="B2731" s="12" t="s">
        <v>44</v>
      </c>
      <c r="D2731" s="4" t="s">
        <v>45</v>
      </c>
      <c r="E2731" s="5">
        <v>5000</v>
      </c>
    </row>
    <row r="2732" spans="1:5" x14ac:dyDescent="0.25">
      <c r="A2732" s="6" t="s">
        <v>1276</v>
      </c>
      <c r="B2732" s="6" t="s">
        <v>161</v>
      </c>
      <c r="D2732" s="4" t="s">
        <v>162</v>
      </c>
      <c r="E2732" s="5">
        <f>23000+3000</f>
        <v>26000</v>
      </c>
    </row>
    <row r="2733" spans="1:5" x14ac:dyDescent="0.25">
      <c r="A2733" s="6" t="s">
        <v>1276</v>
      </c>
      <c r="B2733" s="6" t="s">
        <v>167</v>
      </c>
      <c r="D2733" s="4" t="s">
        <v>537</v>
      </c>
      <c r="E2733" s="5">
        <v>2500</v>
      </c>
    </row>
    <row r="2734" spans="1:5" x14ac:dyDescent="0.25">
      <c r="A2734" s="6" t="s">
        <v>1276</v>
      </c>
      <c r="B2734" s="11" t="s">
        <v>169</v>
      </c>
      <c r="D2734" s="4" t="s">
        <v>170</v>
      </c>
      <c r="E2734" s="5">
        <v>500</v>
      </c>
    </row>
    <row r="2735" spans="1:5" x14ac:dyDescent="0.25">
      <c r="A2735" s="6" t="s">
        <v>1276</v>
      </c>
      <c r="B2735" s="6" t="s">
        <v>171</v>
      </c>
      <c r="D2735" s="4" t="s">
        <v>516</v>
      </c>
      <c r="E2735" s="5">
        <v>6000</v>
      </c>
    </row>
    <row r="2736" spans="1:5" x14ac:dyDescent="0.25">
      <c r="A2736" s="6" t="s">
        <v>1276</v>
      </c>
      <c r="B2736" s="11" t="s">
        <v>173</v>
      </c>
      <c r="D2736" s="4" t="s">
        <v>1277</v>
      </c>
      <c r="E2736" s="5">
        <v>4000</v>
      </c>
    </row>
    <row r="2737" spans="1:5" x14ac:dyDescent="0.25">
      <c r="A2737" s="6" t="s">
        <v>1276</v>
      </c>
      <c r="B2737" s="11" t="s">
        <v>736</v>
      </c>
      <c r="D2737" s="4" t="s">
        <v>737</v>
      </c>
      <c r="E2737" s="5">
        <v>0</v>
      </c>
    </row>
    <row r="2738" spans="1:5" x14ac:dyDescent="0.25">
      <c r="A2738" s="6" t="s">
        <v>1276</v>
      </c>
      <c r="B2738" s="6" t="s">
        <v>542</v>
      </c>
      <c r="D2738" s="4" t="s">
        <v>543</v>
      </c>
      <c r="E2738" s="5">
        <v>250</v>
      </c>
    </row>
    <row r="2739" spans="1:5" x14ac:dyDescent="0.25">
      <c r="A2739" s="6" t="s">
        <v>1276</v>
      </c>
      <c r="B2739" s="11" t="s">
        <v>175</v>
      </c>
      <c r="D2739" s="4" t="s">
        <v>1036</v>
      </c>
      <c r="E2739" s="5">
        <v>1000</v>
      </c>
    </row>
    <row r="2740" spans="1:5" x14ac:dyDescent="0.25">
      <c r="A2740" s="6" t="s">
        <v>1276</v>
      </c>
      <c r="B2740" s="11" t="s">
        <v>66</v>
      </c>
      <c r="D2740" s="4" t="s">
        <v>121</v>
      </c>
      <c r="E2740" s="5">
        <v>0</v>
      </c>
    </row>
    <row r="2741" spans="1:5" x14ac:dyDescent="0.25">
      <c r="A2741" s="6" t="s">
        <v>1276</v>
      </c>
      <c r="B2741" s="6" t="s">
        <v>46</v>
      </c>
      <c r="D2741" s="4" t="s">
        <v>47</v>
      </c>
      <c r="E2741" s="5">
        <v>22000</v>
      </c>
    </row>
    <row r="2742" spans="1:5" x14ac:dyDescent="0.25">
      <c r="A2742" s="6" t="s">
        <v>1276</v>
      </c>
      <c r="B2742" s="11" t="s">
        <v>177</v>
      </c>
      <c r="D2742" s="4" t="s">
        <v>180</v>
      </c>
      <c r="E2742" s="5">
        <f>10000+2500+2000+6000</f>
        <v>20500</v>
      </c>
    </row>
    <row r="2743" spans="1:5" x14ac:dyDescent="0.25">
      <c r="A2743" s="6" t="s">
        <v>1276</v>
      </c>
      <c r="B2743" s="11" t="s">
        <v>179</v>
      </c>
      <c r="D2743" s="4" t="s">
        <v>748</v>
      </c>
      <c r="E2743" s="5">
        <v>57000</v>
      </c>
    </row>
    <row r="2744" spans="1:5" x14ac:dyDescent="0.25">
      <c r="A2744" s="6" t="s">
        <v>1276</v>
      </c>
      <c r="B2744" s="11" t="s">
        <v>544</v>
      </c>
      <c r="D2744" s="4" t="s">
        <v>545</v>
      </c>
      <c r="E2744" s="5">
        <v>4000</v>
      </c>
    </row>
    <row r="2745" spans="1:5" x14ac:dyDescent="0.25">
      <c r="A2745" s="6" t="s">
        <v>1276</v>
      </c>
      <c r="B2745" s="11" t="s">
        <v>183</v>
      </c>
      <c r="D2745" s="4" t="s">
        <v>184</v>
      </c>
      <c r="E2745" s="5">
        <v>0</v>
      </c>
    </row>
    <row r="2746" spans="1:5" x14ac:dyDescent="0.25">
      <c r="A2746" s="6" t="s">
        <v>1276</v>
      </c>
      <c r="B2746" s="11" t="s">
        <v>112</v>
      </c>
      <c r="D2746" s="4" t="s">
        <v>297</v>
      </c>
      <c r="E2746" s="5">
        <v>0</v>
      </c>
    </row>
    <row r="2747" spans="1:5" x14ac:dyDescent="0.25">
      <c r="A2747" s="6" t="s">
        <v>1276</v>
      </c>
      <c r="B2747" s="11" t="s">
        <v>131</v>
      </c>
      <c r="D2747" s="4" t="s">
        <v>132</v>
      </c>
      <c r="E2747" s="5">
        <v>3000</v>
      </c>
    </row>
    <row r="2748" spans="1:5" x14ac:dyDescent="0.25">
      <c r="A2748" s="6" t="s">
        <v>1276</v>
      </c>
      <c r="B2748" s="6" t="s">
        <v>192</v>
      </c>
      <c r="D2748" s="4" t="s">
        <v>546</v>
      </c>
      <c r="E2748" s="5">
        <v>1000</v>
      </c>
    </row>
    <row r="2750" spans="1:5" x14ac:dyDescent="0.25">
      <c r="A2750" s="6" t="s">
        <v>1278</v>
      </c>
      <c r="B2750" s="6" t="s">
        <v>4</v>
      </c>
      <c r="C2750" s="6" t="s">
        <v>4</v>
      </c>
      <c r="D2750" s="4" t="s">
        <v>4</v>
      </c>
      <c r="E2750" s="5">
        <f>SUM(E2731:E2748)</f>
        <v>152750</v>
      </c>
    </row>
    <row r="2752" spans="1:5" x14ac:dyDescent="0.25">
      <c r="A2752" s="6" t="s">
        <v>1279</v>
      </c>
    </row>
    <row r="2753" spans="1:5" x14ac:dyDescent="0.25">
      <c r="A2753" s="6" t="s">
        <v>12</v>
      </c>
    </row>
    <row r="2754" spans="1:5" x14ac:dyDescent="0.25">
      <c r="A2754" s="6" t="s">
        <v>1280</v>
      </c>
      <c r="B2754" s="6" t="s">
        <v>165</v>
      </c>
      <c r="D2754" s="4" t="s">
        <v>550</v>
      </c>
      <c r="E2754" s="5">
        <f>14500+500</f>
        <v>15000</v>
      </c>
    </row>
    <row r="2756" spans="1:5" x14ac:dyDescent="0.25">
      <c r="A2756" s="6" t="s">
        <v>1281</v>
      </c>
      <c r="B2756" s="6" t="s">
        <v>4</v>
      </c>
      <c r="C2756" s="6" t="s">
        <v>4</v>
      </c>
      <c r="D2756" s="4" t="s">
        <v>4</v>
      </c>
      <c r="E2756" s="5">
        <f>E2754</f>
        <v>15000</v>
      </c>
    </row>
    <row r="2757" spans="1:5" hidden="1" x14ac:dyDescent="0.25"/>
    <row r="2758" spans="1:5" hidden="1" x14ac:dyDescent="0.25">
      <c r="A2758" s="6" t="s">
        <v>1282</v>
      </c>
    </row>
    <row r="2759" spans="1:5" hidden="1" x14ac:dyDescent="0.25">
      <c r="A2759" s="6" t="s">
        <v>12</v>
      </c>
    </row>
    <row r="2760" spans="1:5" hidden="1" x14ac:dyDescent="0.25">
      <c r="A2760" s="6" t="s">
        <v>1283</v>
      </c>
      <c r="B2760" s="6" t="s">
        <v>14</v>
      </c>
      <c r="D2760" s="4" t="s">
        <v>15</v>
      </c>
      <c r="E2760" s="5">
        <v>0</v>
      </c>
    </row>
    <row r="2761" spans="1:5" hidden="1" x14ac:dyDescent="0.25">
      <c r="A2761" s="6" t="s">
        <v>1283</v>
      </c>
      <c r="B2761" s="6" t="s">
        <v>17</v>
      </c>
      <c r="D2761" s="4" t="s">
        <v>18</v>
      </c>
      <c r="E2761" s="5">
        <f>E2760*B3801</f>
        <v>0</v>
      </c>
    </row>
    <row r="2762" spans="1:5" hidden="1" x14ac:dyDescent="0.25">
      <c r="A2762" s="6" t="s">
        <v>1283</v>
      </c>
      <c r="B2762" s="6" t="s">
        <v>19</v>
      </c>
      <c r="D2762" s="4" t="s">
        <v>20</v>
      </c>
      <c r="E2762" s="5">
        <f>E2760*B3802</f>
        <v>0</v>
      </c>
    </row>
    <row r="2763" spans="1:5" hidden="1" x14ac:dyDescent="0.25">
      <c r="A2763" s="6" t="s">
        <v>1283</v>
      </c>
      <c r="B2763" s="6" t="s">
        <v>21</v>
      </c>
      <c r="D2763" s="4" t="s">
        <v>22</v>
      </c>
      <c r="E2763" s="5">
        <f>E2760*B3803</f>
        <v>0</v>
      </c>
    </row>
    <row r="2764" spans="1:5" hidden="1" x14ac:dyDescent="0.25"/>
    <row r="2765" spans="1:5" hidden="1" x14ac:dyDescent="0.25">
      <c r="A2765" s="6" t="s">
        <v>1284</v>
      </c>
      <c r="B2765" s="6" t="s">
        <v>4</v>
      </c>
      <c r="C2765" s="6" t="s">
        <v>4</v>
      </c>
      <c r="D2765" s="4" t="s">
        <v>4</v>
      </c>
      <c r="E2765" s="5">
        <f>SUM(E2760:E2763)</f>
        <v>0</v>
      </c>
    </row>
    <row r="2766" spans="1:5" hidden="1" x14ac:dyDescent="0.25"/>
    <row r="2767" spans="1:5" hidden="1" x14ac:dyDescent="0.25">
      <c r="A2767" s="6" t="s">
        <v>1285</v>
      </c>
    </row>
    <row r="2768" spans="1:5" hidden="1" x14ac:dyDescent="0.25">
      <c r="A2768" s="6" t="s">
        <v>12</v>
      </c>
    </row>
    <row r="2769" spans="1:5" hidden="1" x14ac:dyDescent="0.25">
      <c r="A2769" s="6" t="s">
        <v>1286</v>
      </c>
      <c r="B2769" s="6" t="s">
        <v>1246</v>
      </c>
      <c r="D2769" s="4" t="s">
        <v>1247</v>
      </c>
    </row>
    <row r="2770" spans="1:5" hidden="1" x14ac:dyDescent="0.25">
      <c r="A2770" s="6" t="s">
        <v>1286</v>
      </c>
      <c r="B2770" s="6" t="s">
        <v>72</v>
      </c>
      <c r="D2770" s="4" t="s">
        <v>73</v>
      </c>
    </row>
    <row r="2771" spans="1:5" hidden="1" x14ac:dyDescent="0.25">
      <c r="A2771" s="6" t="s">
        <v>1286</v>
      </c>
      <c r="B2771" s="6" t="s">
        <v>192</v>
      </c>
      <c r="D2771" s="4" t="s">
        <v>546</v>
      </c>
      <c r="E2771" s="5">
        <v>0</v>
      </c>
    </row>
    <row r="2772" spans="1:5" hidden="1" x14ac:dyDescent="0.25"/>
    <row r="2773" spans="1:5" hidden="1" x14ac:dyDescent="0.25">
      <c r="A2773" s="6" t="s">
        <v>1287</v>
      </c>
      <c r="B2773" s="6" t="s">
        <v>4</v>
      </c>
      <c r="C2773" s="6" t="s">
        <v>4</v>
      </c>
      <c r="D2773" s="4" t="s">
        <v>4</v>
      </c>
      <c r="E2773" s="5">
        <f>SUM(E2769:E2771)</f>
        <v>0</v>
      </c>
    </row>
    <row r="2775" spans="1:5" x14ac:dyDescent="0.25">
      <c r="A2775" s="6" t="s">
        <v>1288</v>
      </c>
    </row>
    <row r="2776" spans="1:5" x14ac:dyDescent="0.25">
      <c r="A2776" s="6" t="s">
        <v>12</v>
      </c>
    </row>
    <row r="2777" spans="1:5" x14ac:dyDescent="0.25">
      <c r="A2777" s="11" t="s">
        <v>1289</v>
      </c>
      <c r="B2777" s="6" t="s">
        <v>53</v>
      </c>
      <c r="D2777" s="4" t="s">
        <v>54</v>
      </c>
      <c r="E2777" s="5">
        <v>89150</v>
      </c>
    </row>
    <row r="2778" spans="1:5" x14ac:dyDescent="0.25">
      <c r="A2778" s="11" t="s">
        <v>1289</v>
      </c>
      <c r="B2778" s="11" t="s">
        <v>14</v>
      </c>
      <c r="D2778" s="4" t="s">
        <v>15</v>
      </c>
      <c r="E2778" s="5">
        <v>68253</v>
      </c>
    </row>
    <row r="2779" spans="1:5" x14ac:dyDescent="0.25">
      <c r="A2779" s="11" t="s">
        <v>1289</v>
      </c>
      <c r="B2779" s="11" t="s">
        <v>17</v>
      </c>
      <c r="D2779" s="4" t="s">
        <v>18</v>
      </c>
      <c r="E2779" s="5">
        <f>E2778*B3801</f>
        <v>4231.6859999999997</v>
      </c>
    </row>
    <row r="2780" spans="1:5" x14ac:dyDescent="0.25">
      <c r="A2780" s="11" t="s">
        <v>1289</v>
      </c>
      <c r="B2780" s="6" t="s">
        <v>19</v>
      </c>
      <c r="D2780" s="4" t="s">
        <v>20</v>
      </c>
      <c r="E2780" s="5">
        <f>(E2777+E2778)*B3798</f>
        <v>2282.3434999999999</v>
      </c>
    </row>
    <row r="2781" spans="1:5" x14ac:dyDescent="0.25">
      <c r="A2781" s="11" t="s">
        <v>1289</v>
      </c>
      <c r="B2781" s="11" t="s">
        <v>40</v>
      </c>
      <c r="D2781" s="4" t="s">
        <v>60</v>
      </c>
      <c r="E2781" s="5">
        <f>E2777*B3799</f>
        <v>2674.5</v>
      </c>
    </row>
    <row r="2782" spans="1:5" x14ac:dyDescent="0.25">
      <c r="A2782" s="11" t="s">
        <v>1289</v>
      </c>
      <c r="B2782" s="11" t="s">
        <v>21</v>
      </c>
      <c r="D2782" s="4" t="s">
        <v>22</v>
      </c>
      <c r="E2782" s="5">
        <f>E2778*B3803</f>
        <v>15930.2502</v>
      </c>
    </row>
    <row r="2783" spans="1:5" x14ac:dyDescent="0.25">
      <c r="A2783" s="11"/>
      <c r="B2783" s="11"/>
    </row>
    <row r="2784" spans="1:5" x14ac:dyDescent="0.25">
      <c r="A2784" s="6" t="s">
        <v>394</v>
      </c>
      <c r="B2784" s="11"/>
      <c r="E2784" s="5">
        <f>SUM(E2777:E2782)</f>
        <v>182521.77969999998</v>
      </c>
    </row>
    <row r="2786" spans="1:5" x14ac:dyDescent="0.25">
      <c r="A2786" s="6" t="s">
        <v>1290</v>
      </c>
    </row>
    <row r="2787" spans="1:5" x14ac:dyDescent="0.25">
      <c r="A2787" s="6" t="s">
        <v>12</v>
      </c>
    </row>
    <row r="2788" spans="1:5" x14ac:dyDescent="0.25">
      <c r="A2788" s="6" t="s">
        <v>1291</v>
      </c>
      <c r="B2788" s="11" t="s">
        <v>53</v>
      </c>
      <c r="D2788" s="4" t="s">
        <v>54</v>
      </c>
      <c r="E2788" s="5">
        <v>53239</v>
      </c>
    </row>
    <row r="2789" spans="1:5" x14ac:dyDescent="0.25">
      <c r="A2789" s="6" t="s">
        <v>1291</v>
      </c>
      <c r="B2789" s="11" t="s">
        <v>55</v>
      </c>
      <c r="D2789" s="4" t="s">
        <v>56</v>
      </c>
      <c r="E2789" s="5">
        <v>0</v>
      </c>
    </row>
    <row r="2790" spans="1:5" x14ac:dyDescent="0.25">
      <c r="A2790" s="6" t="s">
        <v>1291</v>
      </c>
      <c r="B2790" s="11" t="s">
        <v>32</v>
      </c>
      <c r="D2790" s="4" t="s">
        <v>33</v>
      </c>
      <c r="E2790" s="5">
        <v>0</v>
      </c>
    </row>
    <row r="2791" spans="1:5" x14ac:dyDescent="0.25">
      <c r="A2791" s="6" t="s">
        <v>1291</v>
      </c>
      <c r="B2791" s="11" t="s">
        <v>17</v>
      </c>
      <c r="D2791" s="4" t="s">
        <v>18</v>
      </c>
      <c r="E2791" s="5">
        <v>0</v>
      </c>
    </row>
    <row r="2792" spans="1:5" x14ac:dyDescent="0.25">
      <c r="A2792" s="6" t="s">
        <v>1291</v>
      </c>
      <c r="B2792" s="6" t="s">
        <v>19</v>
      </c>
      <c r="D2792" s="4" t="s">
        <v>20</v>
      </c>
      <c r="E2792" s="5">
        <f>SUM(E2788:E2790)*B3798</f>
        <v>771.96550000000002</v>
      </c>
    </row>
    <row r="2793" spans="1:5" x14ac:dyDescent="0.25">
      <c r="A2793" s="6" t="s">
        <v>1291</v>
      </c>
      <c r="B2793" s="11" t="s">
        <v>40</v>
      </c>
      <c r="D2793" s="4" t="s">
        <v>60</v>
      </c>
      <c r="E2793" s="5">
        <f>SUM(E2788:E2790)*B3799</f>
        <v>1597.1699999999998</v>
      </c>
    </row>
    <row r="2794" spans="1:5" x14ac:dyDescent="0.25">
      <c r="A2794" s="6" t="s">
        <v>1291</v>
      </c>
      <c r="B2794" s="6" t="s">
        <v>70</v>
      </c>
      <c r="D2794" s="4" t="s">
        <v>471</v>
      </c>
    </row>
    <row r="2795" spans="1:5" x14ac:dyDescent="0.25">
      <c r="A2795" s="6" t="s">
        <v>1291</v>
      </c>
      <c r="B2795" s="6" t="s">
        <v>48</v>
      </c>
      <c r="D2795" s="4" t="s">
        <v>761</v>
      </c>
    </row>
    <row r="2797" spans="1:5" x14ac:dyDescent="0.25">
      <c r="A2797" s="6" t="s">
        <v>1292</v>
      </c>
      <c r="B2797" s="6" t="s">
        <v>4</v>
      </c>
      <c r="C2797" s="6" t="s">
        <v>4</v>
      </c>
      <c r="D2797" s="4" t="s">
        <v>4</v>
      </c>
      <c r="E2797" s="5">
        <f>SUM(E2788:E2795)</f>
        <v>55608.135499999997</v>
      </c>
    </row>
    <row r="2799" spans="1:5" x14ac:dyDescent="0.25">
      <c r="A2799" s="11" t="s">
        <v>1293</v>
      </c>
    </row>
    <row r="2801" spans="1:5" x14ac:dyDescent="0.25">
      <c r="A2801" s="11" t="s">
        <v>1294</v>
      </c>
      <c r="B2801" s="11" t="s">
        <v>14</v>
      </c>
      <c r="D2801" s="4" t="s">
        <v>15</v>
      </c>
      <c r="E2801" s="5">
        <v>36364</v>
      </c>
    </row>
    <row r="2802" spans="1:5" x14ac:dyDescent="0.25">
      <c r="A2802" s="11" t="s">
        <v>1294</v>
      </c>
      <c r="B2802" s="11" t="s">
        <v>14</v>
      </c>
      <c r="D2802" s="4" t="s">
        <v>15</v>
      </c>
      <c r="E2802" s="5">
        <v>0</v>
      </c>
    </row>
    <row r="2803" spans="1:5" x14ac:dyDescent="0.25">
      <c r="A2803" s="11" t="s">
        <v>1294</v>
      </c>
      <c r="B2803" s="11" t="s">
        <v>25</v>
      </c>
      <c r="D2803" s="4" t="s">
        <v>58</v>
      </c>
      <c r="E2803" s="5">
        <f>160*2</f>
        <v>320</v>
      </c>
    </row>
    <row r="2804" spans="1:5" x14ac:dyDescent="0.25">
      <c r="A2804" s="11" t="s">
        <v>1294</v>
      </c>
      <c r="B2804" s="11" t="s">
        <v>17</v>
      </c>
      <c r="D2804" s="4" t="s">
        <v>18</v>
      </c>
      <c r="E2804" s="5">
        <f>(E2801+E2802+E2803)*B3801</f>
        <v>2274.4079999999999</v>
      </c>
    </row>
    <row r="2805" spans="1:5" x14ac:dyDescent="0.25">
      <c r="A2805" s="11" t="s">
        <v>1294</v>
      </c>
      <c r="B2805" s="11" t="s">
        <v>19</v>
      </c>
      <c r="D2805" s="4" t="s">
        <v>20</v>
      </c>
      <c r="E2805" s="5">
        <f>(E2801+E2802+E2803)*B3798</f>
        <v>531.91800000000001</v>
      </c>
    </row>
    <row r="2806" spans="1:5" x14ac:dyDescent="0.25">
      <c r="A2806" s="11" t="s">
        <v>1294</v>
      </c>
      <c r="B2806" s="11" t="s">
        <v>40</v>
      </c>
      <c r="D2806" s="4" t="s">
        <v>60</v>
      </c>
      <c r="E2806" s="5">
        <f>E2802*B3799</f>
        <v>0</v>
      </c>
    </row>
    <row r="2807" spans="1:5" x14ac:dyDescent="0.25">
      <c r="A2807" s="11" t="s">
        <v>1294</v>
      </c>
      <c r="B2807" s="11" t="s">
        <v>21</v>
      </c>
      <c r="D2807" s="4" t="s">
        <v>22</v>
      </c>
      <c r="E2807" s="5">
        <f>(E2801+E2803)*B3803</f>
        <v>8562.0455999999995</v>
      </c>
    </row>
    <row r="2809" spans="1:5" x14ac:dyDescent="0.25">
      <c r="A2809" s="6" t="s">
        <v>1295</v>
      </c>
      <c r="E2809" s="5">
        <f>SUM(E2801:E2807)</f>
        <v>48052.371599999999</v>
      </c>
    </row>
    <row r="2811" spans="1:5" x14ac:dyDescent="0.25">
      <c r="A2811" s="6" t="s">
        <v>1296</v>
      </c>
    </row>
    <row r="2812" spans="1:5" x14ac:dyDescent="0.25">
      <c r="A2812" s="6" t="s">
        <v>12</v>
      </c>
    </row>
    <row r="2813" spans="1:5" x14ac:dyDescent="0.25">
      <c r="A2813" s="6" t="s">
        <v>1297</v>
      </c>
      <c r="B2813" s="6" t="s">
        <v>53</v>
      </c>
      <c r="D2813" s="4" t="s">
        <v>54</v>
      </c>
      <c r="E2813" s="5">
        <v>0</v>
      </c>
    </row>
    <row r="2814" spans="1:5" x14ac:dyDescent="0.25">
      <c r="A2814" s="6" t="s">
        <v>1297</v>
      </c>
      <c r="B2814" s="6" t="s">
        <v>19</v>
      </c>
      <c r="D2814" s="4" t="s">
        <v>20</v>
      </c>
      <c r="E2814" s="5">
        <f>E2813*B3798</f>
        <v>0</v>
      </c>
    </row>
    <row r="2815" spans="1:5" x14ac:dyDescent="0.25">
      <c r="A2815" s="6" t="s">
        <v>1297</v>
      </c>
      <c r="B2815" s="11" t="s">
        <v>40</v>
      </c>
      <c r="D2815" s="4" t="s">
        <v>60</v>
      </c>
      <c r="E2815" s="5">
        <f>E2813*B3799</f>
        <v>0</v>
      </c>
    </row>
    <row r="2817" spans="1:5" x14ac:dyDescent="0.25">
      <c r="A2817" s="6" t="s">
        <v>1298</v>
      </c>
      <c r="B2817" s="6" t="s">
        <v>4</v>
      </c>
      <c r="C2817" s="6" t="s">
        <v>4</v>
      </c>
      <c r="D2817" s="4" t="s">
        <v>4</v>
      </c>
      <c r="E2817" s="5">
        <f>E2813+E2814+E2815</f>
        <v>0</v>
      </c>
    </row>
    <row r="2818" spans="1:5" hidden="1" x14ac:dyDescent="0.25"/>
    <row r="2819" spans="1:5" hidden="1" x14ac:dyDescent="0.25">
      <c r="A2819" s="6" t="s">
        <v>1299</v>
      </c>
    </row>
    <row r="2820" spans="1:5" hidden="1" x14ac:dyDescent="0.25">
      <c r="A2820" s="6" t="s">
        <v>12</v>
      </c>
    </row>
    <row r="2821" spans="1:5" hidden="1" x14ac:dyDescent="0.25">
      <c r="A2821" s="6" t="s">
        <v>1300</v>
      </c>
      <c r="B2821" s="6" t="s">
        <v>53</v>
      </c>
      <c r="D2821" s="4" t="s">
        <v>54</v>
      </c>
      <c r="E2821" s="5">
        <v>0</v>
      </c>
    </row>
    <row r="2822" spans="1:5" hidden="1" x14ac:dyDescent="0.25">
      <c r="A2822" s="6" t="s">
        <v>1300</v>
      </c>
      <c r="B2822" s="6" t="s">
        <v>19</v>
      </c>
      <c r="D2822" s="4" t="s">
        <v>20</v>
      </c>
      <c r="E2822" s="5">
        <f>E2821*B3798</f>
        <v>0</v>
      </c>
    </row>
    <row r="2823" spans="1:5" hidden="1" x14ac:dyDescent="0.25">
      <c r="A2823" s="6" t="s">
        <v>1300</v>
      </c>
      <c r="B2823" s="11" t="s">
        <v>40</v>
      </c>
      <c r="D2823" s="4" t="s">
        <v>60</v>
      </c>
      <c r="E2823" s="5">
        <f>E2821*B3799</f>
        <v>0</v>
      </c>
    </row>
    <row r="2824" spans="1:5" hidden="1" x14ac:dyDescent="0.25">
      <c r="A2824" s="6" t="s">
        <v>1300</v>
      </c>
      <c r="B2824" s="6" t="s">
        <v>46</v>
      </c>
      <c r="D2824" s="4" t="s">
        <v>47</v>
      </c>
      <c r="E2824" s="5">
        <f>3000-3000</f>
        <v>0</v>
      </c>
    </row>
    <row r="2825" spans="1:5" hidden="1" x14ac:dyDescent="0.25">
      <c r="A2825" s="6" t="s">
        <v>1300</v>
      </c>
      <c r="B2825" s="6" t="s">
        <v>690</v>
      </c>
      <c r="D2825" s="4" t="s">
        <v>691</v>
      </c>
    </row>
    <row r="2826" spans="1:5" hidden="1" x14ac:dyDescent="0.25">
      <c r="A2826" s="6" t="s">
        <v>1300</v>
      </c>
      <c r="B2826" s="6" t="s">
        <v>498</v>
      </c>
      <c r="D2826" s="4" t="s">
        <v>499</v>
      </c>
    </row>
    <row r="2827" spans="1:5" hidden="1" x14ac:dyDescent="0.25">
      <c r="A2827" s="6" t="s">
        <v>1300</v>
      </c>
      <c r="B2827" s="6" t="s">
        <v>1155</v>
      </c>
      <c r="D2827" s="4" t="s">
        <v>1156</v>
      </c>
    </row>
    <row r="2828" spans="1:5" hidden="1" x14ac:dyDescent="0.25">
      <c r="A2828" s="6" t="s">
        <v>1300</v>
      </c>
      <c r="B2828" s="6" t="s">
        <v>48</v>
      </c>
      <c r="D2828" s="4" t="s">
        <v>761</v>
      </c>
    </row>
    <row r="2829" spans="1:5" hidden="1" x14ac:dyDescent="0.25"/>
    <row r="2830" spans="1:5" hidden="1" x14ac:dyDescent="0.25">
      <c r="A2830" s="6" t="s">
        <v>1301</v>
      </c>
      <c r="B2830" s="6" t="s">
        <v>4</v>
      </c>
      <c r="C2830" s="6" t="s">
        <v>4</v>
      </c>
      <c r="D2830" s="4" t="s">
        <v>4</v>
      </c>
      <c r="E2830" s="5">
        <f>SUM(E2821:E2828)</f>
        <v>0</v>
      </c>
    </row>
    <row r="2832" spans="1:5" x14ac:dyDescent="0.25">
      <c r="A2832" s="6" t="s">
        <v>1302</v>
      </c>
    </row>
    <row r="2833" spans="1:6" x14ac:dyDescent="0.25">
      <c r="A2833" s="6" t="s">
        <v>12</v>
      </c>
    </row>
    <row r="2834" spans="1:6" x14ac:dyDescent="0.25">
      <c r="A2834" s="6" t="s">
        <v>1300</v>
      </c>
      <c r="B2834" s="6" t="s">
        <v>53</v>
      </c>
      <c r="D2834" s="4" t="s">
        <v>54</v>
      </c>
      <c r="E2834" s="5">
        <v>14444</v>
      </c>
    </row>
    <row r="2835" spans="1:6" x14ac:dyDescent="0.25">
      <c r="A2835" s="6" t="s">
        <v>1300</v>
      </c>
      <c r="B2835" s="6" t="s">
        <v>19</v>
      </c>
      <c r="D2835" s="4" t="s">
        <v>20</v>
      </c>
      <c r="E2835" s="5">
        <f>E2834*B3798</f>
        <v>209.43800000000002</v>
      </c>
    </row>
    <row r="2836" spans="1:6" x14ac:dyDescent="0.25">
      <c r="A2836" s="6" t="s">
        <v>1300</v>
      </c>
      <c r="B2836" s="11" t="s">
        <v>40</v>
      </c>
      <c r="D2836" s="4" t="s">
        <v>60</v>
      </c>
      <c r="E2836" s="5">
        <f>E2834*B3799</f>
        <v>433.32</v>
      </c>
    </row>
    <row r="2837" spans="1:6" x14ac:dyDescent="0.25">
      <c r="A2837" s="6" t="s">
        <v>1300</v>
      </c>
      <c r="B2837" s="11" t="s">
        <v>690</v>
      </c>
      <c r="D2837" s="4" t="s">
        <v>1303</v>
      </c>
      <c r="E2837" s="5">
        <v>209.82</v>
      </c>
    </row>
    <row r="2839" spans="1:6" x14ac:dyDescent="0.25">
      <c r="A2839" s="6" t="s">
        <v>1298</v>
      </c>
      <c r="B2839" s="6" t="s">
        <v>4</v>
      </c>
      <c r="C2839" s="6" t="s">
        <v>4</v>
      </c>
      <c r="D2839" s="4" t="s">
        <v>4</v>
      </c>
      <c r="E2839" s="5">
        <f>E2834+E2835+E2836+E2837</f>
        <v>15296.578</v>
      </c>
    </row>
    <row r="2841" spans="1:6" x14ac:dyDescent="0.25">
      <c r="A2841" s="6" t="s">
        <v>1304</v>
      </c>
    </row>
    <row r="2842" spans="1:6" x14ac:dyDescent="0.25">
      <c r="A2842" s="6" t="s">
        <v>12</v>
      </c>
    </row>
    <row r="2843" spans="1:6" x14ac:dyDescent="0.25">
      <c r="A2843" s="6" t="s">
        <v>1305</v>
      </c>
      <c r="B2843" s="6" t="s">
        <v>53</v>
      </c>
      <c r="D2843" s="4" t="s">
        <v>54</v>
      </c>
      <c r="E2843" s="5">
        <v>144104</v>
      </c>
    </row>
    <row r="2844" spans="1:6" x14ac:dyDescent="0.25">
      <c r="A2844" s="6" t="s">
        <v>1305</v>
      </c>
      <c r="B2844" s="11" t="s">
        <v>1160</v>
      </c>
      <c r="D2844" s="4" t="s">
        <v>1306</v>
      </c>
      <c r="E2844" s="5">
        <v>0</v>
      </c>
      <c r="F2844" s="12"/>
    </row>
    <row r="2845" spans="1:6" x14ac:dyDescent="0.25">
      <c r="A2845" s="6" t="s">
        <v>1305</v>
      </c>
      <c r="B2845" s="6" t="s">
        <v>14</v>
      </c>
      <c r="D2845" s="4" t="s">
        <v>15</v>
      </c>
      <c r="E2845" s="5">
        <v>139861</v>
      </c>
    </row>
    <row r="2846" spans="1:6" x14ac:dyDescent="0.25">
      <c r="A2846" s="6" t="s">
        <v>1305</v>
      </c>
      <c r="B2846" s="6" t="s">
        <v>17</v>
      </c>
      <c r="D2846" s="4" t="s">
        <v>18</v>
      </c>
      <c r="E2846" s="5">
        <f>E2845*B3801</f>
        <v>8671.3819999999996</v>
      </c>
    </row>
    <row r="2847" spans="1:6" x14ac:dyDescent="0.25">
      <c r="A2847" s="6" t="s">
        <v>1305</v>
      </c>
      <c r="B2847" s="6" t="s">
        <v>19</v>
      </c>
      <c r="D2847" s="4" t="s">
        <v>20</v>
      </c>
      <c r="E2847" s="5">
        <f>SUM(E2843:E2845)*B3802</f>
        <v>4117.4925000000003</v>
      </c>
    </row>
    <row r="2848" spans="1:6" x14ac:dyDescent="0.25">
      <c r="A2848" s="6" t="s">
        <v>1305</v>
      </c>
      <c r="B2848" s="6" t="s">
        <v>40</v>
      </c>
      <c r="D2848" s="4" t="s">
        <v>60</v>
      </c>
      <c r="E2848" s="5">
        <f>SUM(E2843+E2844)*B3799</f>
        <v>4323.12</v>
      </c>
    </row>
    <row r="2849" spans="1:5" x14ac:dyDescent="0.25">
      <c r="A2849" s="6" t="s">
        <v>1305</v>
      </c>
      <c r="B2849" s="6" t="s">
        <v>21</v>
      </c>
      <c r="D2849" s="4" t="s">
        <v>22</v>
      </c>
      <c r="E2849" s="5">
        <f>E2845*B3803</f>
        <v>32643.557399999998</v>
      </c>
    </row>
    <row r="2850" spans="1:5" x14ac:dyDescent="0.25">
      <c r="A2850" s="6" t="s">
        <v>1305</v>
      </c>
      <c r="B2850" s="6" t="s">
        <v>42</v>
      </c>
      <c r="D2850" s="4" t="s">
        <v>616</v>
      </c>
    </row>
    <row r="2851" spans="1:5" x14ac:dyDescent="0.25">
      <c r="A2851" s="6" t="s">
        <v>1305</v>
      </c>
      <c r="B2851" s="6" t="s">
        <v>385</v>
      </c>
      <c r="D2851" s="4" t="s">
        <v>1247</v>
      </c>
      <c r="E2851" s="5">
        <v>0</v>
      </c>
    </row>
    <row r="2852" spans="1:5" x14ac:dyDescent="0.25">
      <c r="A2852" s="6" t="s">
        <v>1305</v>
      </c>
      <c r="B2852" s="6" t="s">
        <v>88</v>
      </c>
      <c r="D2852" s="4" t="s">
        <v>523</v>
      </c>
    </row>
    <row r="2853" spans="1:5" x14ac:dyDescent="0.25">
      <c r="A2853" s="6" t="s">
        <v>1305</v>
      </c>
      <c r="B2853" s="6" t="s">
        <v>66</v>
      </c>
      <c r="D2853" s="4" t="s">
        <v>67</v>
      </c>
    </row>
    <row r="2854" spans="1:5" x14ac:dyDescent="0.25">
      <c r="A2854" s="6" t="s">
        <v>1305</v>
      </c>
      <c r="B2854" s="11" t="s">
        <v>68</v>
      </c>
      <c r="D2854" s="4" t="s">
        <v>885</v>
      </c>
      <c r="E2854" s="5">
        <v>0</v>
      </c>
    </row>
    <row r="2855" spans="1:5" x14ac:dyDescent="0.25">
      <c r="A2855" s="6" t="s">
        <v>1305</v>
      </c>
      <c r="B2855" s="6" t="s">
        <v>46</v>
      </c>
      <c r="D2855" s="4" t="s">
        <v>47</v>
      </c>
      <c r="E2855" s="5">
        <v>0</v>
      </c>
    </row>
    <row r="2856" spans="1:5" x14ac:dyDescent="0.25">
      <c r="A2856" s="6" t="s">
        <v>1305</v>
      </c>
      <c r="B2856" s="6" t="s">
        <v>72</v>
      </c>
      <c r="D2856" s="4" t="s">
        <v>73</v>
      </c>
      <c r="E2856" s="5">
        <v>0</v>
      </c>
    </row>
    <row r="2857" spans="1:5" x14ac:dyDescent="0.25">
      <c r="A2857" s="6" t="s">
        <v>1305</v>
      </c>
      <c r="B2857" s="6" t="s">
        <v>48</v>
      </c>
      <c r="D2857" s="4" t="s">
        <v>761</v>
      </c>
      <c r="E2857" s="5">
        <v>0</v>
      </c>
    </row>
    <row r="2858" spans="1:5" x14ac:dyDescent="0.25">
      <c r="A2858" s="6" t="s">
        <v>1305</v>
      </c>
      <c r="B2858" s="6" t="s">
        <v>112</v>
      </c>
      <c r="D2858" s="4" t="s">
        <v>1161</v>
      </c>
      <c r="E2858" s="5">
        <v>0</v>
      </c>
    </row>
    <row r="2859" spans="1:5" x14ac:dyDescent="0.25">
      <c r="A2859" s="6" t="s">
        <v>1305</v>
      </c>
      <c r="B2859" s="11" t="s">
        <v>78</v>
      </c>
      <c r="D2859" s="4" t="s">
        <v>570</v>
      </c>
      <c r="E2859" s="5">
        <v>0</v>
      </c>
    </row>
    <row r="2861" spans="1:5" x14ac:dyDescent="0.25">
      <c r="A2861" s="6" t="s">
        <v>1307</v>
      </c>
      <c r="B2861" s="6" t="s">
        <v>4</v>
      </c>
      <c r="C2861" s="6" t="s">
        <v>4</v>
      </c>
      <c r="D2861" s="4" t="s">
        <v>4</v>
      </c>
      <c r="E2861" s="5">
        <f>SUM(E2843:E2859)</f>
        <v>333720.55189999996</v>
      </c>
    </row>
    <row r="2863" spans="1:5" x14ac:dyDescent="0.25">
      <c r="A2863" s="6" t="s">
        <v>1308</v>
      </c>
    </row>
    <row r="2864" spans="1:5" x14ac:dyDescent="0.25">
      <c r="A2864" s="6" t="s">
        <v>12</v>
      </c>
    </row>
    <row r="2865" spans="1:6" x14ac:dyDescent="0.25">
      <c r="A2865" s="6" t="s">
        <v>1309</v>
      </c>
      <c r="B2865" s="6" t="s">
        <v>14</v>
      </c>
      <c r="D2865" s="4" t="s">
        <v>15</v>
      </c>
      <c r="E2865" s="5">
        <v>102118</v>
      </c>
    </row>
    <row r="2866" spans="1:6" x14ac:dyDescent="0.25">
      <c r="A2866" s="6" t="s">
        <v>1309</v>
      </c>
      <c r="B2866" s="11" t="s">
        <v>25</v>
      </c>
      <c r="D2866" s="4" t="s">
        <v>58</v>
      </c>
      <c r="E2866" s="5">
        <f>500+700</f>
        <v>1200</v>
      </c>
    </row>
    <row r="2867" spans="1:6" x14ac:dyDescent="0.25">
      <c r="A2867" s="6" t="s">
        <v>1309</v>
      </c>
      <c r="B2867" s="6" t="s">
        <v>36</v>
      </c>
      <c r="D2867" s="4" t="s">
        <v>157</v>
      </c>
      <c r="E2867" s="5">
        <f>1800+5000</f>
        <v>6800</v>
      </c>
    </row>
    <row r="2868" spans="1:6" x14ac:dyDescent="0.25">
      <c r="A2868" s="6" t="s">
        <v>1309</v>
      </c>
      <c r="B2868" s="6" t="s">
        <v>17</v>
      </c>
      <c r="D2868" s="4" t="s">
        <v>18</v>
      </c>
      <c r="E2868" s="5">
        <f>SUM(E2865:E2867)*B3801</f>
        <v>6827.3159999999998</v>
      </c>
      <c r="F2868" s="4" t="s">
        <v>4</v>
      </c>
    </row>
    <row r="2869" spans="1:6" x14ac:dyDescent="0.25">
      <c r="A2869" s="6" t="s">
        <v>1309</v>
      </c>
      <c r="B2869" s="6" t="s">
        <v>19</v>
      </c>
      <c r="D2869" s="4" t="s">
        <v>20</v>
      </c>
      <c r="E2869" s="5">
        <f>SUM(E2865:E2867)*B3802</f>
        <v>1596.711</v>
      </c>
      <c r="F2869" s="4" t="s">
        <v>4</v>
      </c>
    </row>
    <row r="2870" spans="1:6" x14ac:dyDescent="0.25">
      <c r="A2870" s="6" t="s">
        <v>1309</v>
      </c>
      <c r="B2870" s="6" t="s">
        <v>21</v>
      </c>
      <c r="D2870" s="4" t="s">
        <v>22</v>
      </c>
      <c r="E2870" s="5">
        <f>SUM(E2865:E2867)*B3803</f>
        <v>25701.5412</v>
      </c>
      <c r="F2870" s="4" t="s">
        <v>4</v>
      </c>
    </row>
    <row r="2872" spans="1:6" x14ac:dyDescent="0.25">
      <c r="A2872" s="6" t="s">
        <v>1310</v>
      </c>
      <c r="B2872" s="6" t="s">
        <v>4</v>
      </c>
      <c r="C2872" s="6" t="s">
        <v>4</v>
      </c>
      <c r="D2872" s="4" t="s">
        <v>4</v>
      </c>
      <c r="E2872" s="5">
        <f>SUM(E2865:E2870)</f>
        <v>144243.56820000001</v>
      </c>
    </row>
    <row r="2874" spans="1:6" x14ac:dyDescent="0.25">
      <c r="A2874" s="6" t="s">
        <v>1311</v>
      </c>
    </row>
    <row r="2875" spans="1:6" x14ac:dyDescent="0.25">
      <c r="A2875" s="6" t="s">
        <v>12</v>
      </c>
    </row>
    <row r="2876" spans="1:6" x14ac:dyDescent="0.25">
      <c r="A2876" s="6" t="s">
        <v>1312</v>
      </c>
      <c r="B2876" s="6" t="s">
        <v>1168</v>
      </c>
      <c r="D2876" s="4" t="s">
        <v>1169</v>
      </c>
      <c r="E2876" s="5">
        <v>4000</v>
      </c>
    </row>
    <row r="2878" spans="1:6" x14ac:dyDescent="0.25">
      <c r="A2878" s="6" t="s">
        <v>1313</v>
      </c>
      <c r="B2878" s="6" t="s">
        <v>4</v>
      </c>
      <c r="C2878" s="6" t="s">
        <v>4</v>
      </c>
      <c r="D2878" s="4" t="s">
        <v>4</v>
      </c>
      <c r="E2878" s="5">
        <f>E2876</f>
        <v>4000</v>
      </c>
    </row>
    <row r="2880" spans="1:6" x14ac:dyDescent="0.25">
      <c r="A2880" s="6" t="s">
        <v>1314</v>
      </c>
    </row>
    <row r="2881" spans="1:6" x14ac:dyDescent="0.25">
      <c r="A2881" s="6" t="s">
        <v>12</v>
      </c>
    </row>
    <row r="2882" spans="1:6" x14ac:dyDescent="0.25">
      <c r="A2882" s="6" t="s">
        <v>1315</v>
      </c>
      <c r="B2882" s="6" t="s">
        <v>53</v>
      </c>
      <c r="D2882" s="4" t="s">
        <v>54</v>
      </c>
      <c r="E2882" s="5">
        <v>657486</v>
      </c>
    </row>
    <row r="2883" spans="1:6" x14ac:dyDescent="0.25">
      <c r="A2883" s="6" t="s">
        <v>1315</v>
      </c>
      <c r="B2883" s="11" t="s">
        <v>34</v>
      </c>
      <c r="D2883" s="4" t="s">
        <v>57</v>
      </c>
      <c r="E2883" s="5">
        <v>1500</v>
      </c>
    </row>
    <row r="2884" spans="1:6" x14ac:dyDescent="0.25">
      <c r="A2884" s="6" t="s">
        <v>1315</v>
      </c>
      <c r="B2884" s="11" t="s">
        <v>249</v>
      </c>
      <c r="D2884" s="4" t="s">
        <v>250</v>
      </c>
      <c r="E2884" s="5">
        <v>2000</v>
      </c>
    </row>
    <row r="2885" spans="1:6" x14ac:dyDescent="0.25">
      <c r="A2885" s="6" t="s">
        <v>1315</v>
      </c>
      <c r="B2885" s="6" t="s">
        <v>14</v>
      </c>
      <c r="D2885" s="4" t="s">
        <v>15</v>
      </c>
      <c r="E2885" s="5">
        <v>30000</v>
      </c>
    </row>
    <row r="2886" spans="1:6" x14ac:dyDescent="0.25">
      <c r="A2886" s="6" t="s">
        <v>1315</v>
      </c>
      <c r="B2886" s="6" t="s">
        <v>17</v>
      </c>
      <c r="D2886" s="4" t="s">
        <v>18</v>
      </c>
      <c r="E2886" s="5">
        <f>E2885*B3801</f>
        <v>1860</v>
      </c>
    </row>
    <row r="2887" spans="1:6" x14ac:dyDescent="0.25">
      <c r="A2887" s="6" t="s">
        <v>1315</v>
      </c>
      <c r="B2887" s="6" t="s">
        <v>19</v>
      </c>
      <c r="D2887" s="4" t="s">
        <v>20</v>
      </c>
      <c r="E2887" s="5">
        <f>SUM(E2882:E2885)*B3802</f>
        <v>10019.297</v>
      </c>
    </row>
    <row r="2888" spans="1:6" x14ac:dyDescent="0.25">
      <c r="A2888" s="6" t="s">
        <v>1315</v>
      </c>
      <c r="B2888" s="11" t="s">
        <v>40</v>
      </c>
      <c r="D2888" s="4" t="s">
        <v>60</v>
      </c>
      <c r="E2888" s="5">
        <f>SUM(E2882:E2884)*B3799</f>
        <v>19829.579999999998</v>
      </c>
    </row>
    <row r="2889" spans="1:6" x14ac:dyDescent="0.25">
      <c r="A2889" s="6" t="s">
        <v>1315</v>
      </c>
      <c r="B2889" s="6" t="s">
        <v>21</v>
      </c>
      <c r="D2889" s="4" t="s">
        <v>22</v>
      </c>
      <c r="E2889" s="5">
        <f>E2885*B3803</f>
        <v>7002</v>
      </c>
    </row>
    <row r="2890" spans="1:6" x14ac:dyDescent="0.25">
      <c r="A2890" s="6" t="s">
        <v>1315</v>
      </c>
      <c r="B2890" s="11" t="s">
        <v>34</v>
      </c>
      <c r="D2890" s="4" t="s">
        <v>57</v>
      </c>
    </row>
    <row r="2891" spans="1:6" x14ac:dyDescent="0.25">
      <c r="A2891" s="6" t="s">
        <v>1315</v>
      </c>
      <c r="B2891" s="6" t="s">
        <v>46</v>
      </c>
      <c r="D2891" s="4" t="s">
        <v>47</v>
      </c>
      <c r="E2891" s="5">
        <v>53067</v>
      </c>
      <c r="F2891" s="4" t="s">
        <v>789</v>
      </c>
    </row>
    <row r="2892" spans="1:6" x14ac:dyDescent="0.25">
      <c r="A2892" s="6" t="s">
        <v>1315</v>
      </c>
      <c r="B2892" s="11" t="s">
        <v>94</v>
      </c>
      <c r="D2892" s="4" t="s">
        <v>294</v>
      </c>
      <c r="E2892" s="5">
        <v>0</v>
      </c>
    </row>
    <row r="2893" spans="1:6" x14ac:dyDescent="0.25">
      <c r="A2893" s="6" t="s">
        <v>1315</v>
      </c>
      <c r="B2893" s="6" t="s">
        <v>112</v>
      </c>
      <c r="D2893" s="4" t="s">
        <v>1161</v>
      </c>
      <c r="E2893" s="5">
        <v>0</v>
      </c>
    </row>
    <row r="2894" spans="1:6" x14ac:dyDescent="0.25">
      <c r="A2894" s="6" t="s">
        <v>1315</v>
      </c>
      <c r="B2894" s="6" t="s">
        <v>78</v>
      </c>
      <c r="D2894" s="4" t="s">
        <v>570</v>
      </c>
      <c r="E2894" s="5">
        <v>0</v>
      </c>
    </row>
    <row r="2895" spans="1:6" x14ac:dyDescent="0.25">
      <c r="A2895" s="6" t="s">
        <v>1315</v>
      </c>
      <c r="B2895" s="6" t="s">
        <v>762</v>
      </c>
      <c r="D2895" s="4" t="s">
        <v>763</v>
      </c>
    </row>
    <row r="2896" spans="1:6" x14ac:dyDescent="0.25">
      <c r="A2896" s="6" t="s">
        <v>1315</v>
      </c>
      <c r="B2896" s="11" t="s">
        <v>27</v>
      </c>
      <c r="D2896" s="4" t="s">
        <v>585</v>
      </c>
    </row>
    <row r="2897" spans="1:5" x14ac:dyDescent="0.25">
      <c r="A2897" s="6" t="s">
        <v>1315</v>
      </c>
      <c r="B2897" s="11" t="s">
        <v>479</v>
      </c>
      <c r="D2897" s="4" t="s">
        <v>502</v>
      </c>
    </row>
    <row r="2899" spans="1:5" x14ac:dyDescent="0.25">
      <c r="A2899" s="6" t="s">
        <v>1316</v>
      </c>
      <c r="B2899" s="6" t="s">
        <v>4</v>
      </c>
      <c r="C2899" s="6" t="s">
        <v>4</v>
      </c>
      <c r="D2899" s="4" t="s">
        <v>4</v>
      </c>
      <c r="E2899" s="5">
        <f>SUM(E2882:E2897)</f>
        <v>782763.87699999998</v>
      </c>
    </row>
    <row r="2900" spans="1:5" x14ac:dyDescent="0.25">
      <c r="A2900" s="6"/>
      <c r="B2900" s="6"/>
      <c r="C2900" s="6"/>
    </row>
    <row r="2901" spans="1:5" x14ac:dyDescent="0.25">
      <c r="A2901" s="6" t="s">
        <v>1317</v>
      </c>
      <c r="B2901" s="11" t="s">
        <v>53</v>
      </c>
      <c r="C2901" s="6"/>
      <c r="D2901" s="4" t="s">
        <v>54</v>
      </c>
      <c r="E2901" s="5">
        <v>0</v>
      </c>
    </row>
    <row r="2902" spans="1:5" x14ac:dyDescent="0.25">
      <c r="A2902" s="6" t="s">
        <v>1317</v>
      </c>
      <c r="B2902" s="11" t="s">
        <v>55</v>
      </c>
      <c r="C2902" s="6"/>
      <c r="D2902" s="4" t="s">
        <v>56</v>
      </c>
      <c r="E2902" s="5">
        <v>0</v>
      </c>
    </row>
    <row r="2903" spans="1:5" x14ac:dyDescent="0.25">
      <c r="A2903" s="6" t="s">
        <v>1317</v>
      </c>
      <c r="B2903" s="11" t="s">
        <v>32</v>
      </c>
      <c r="C2903" s="6"/>
      <c r="D2903" s="4" t="s">
        <v>33</v>
      </c>
      <c r="E2903" s="5">
        <v>0</v>
      </c>
    </row>
    <row r="2904" spans="1:5" x14ac:dyDescent="0.25">
      <c r="A2904" s="6" t="s">
        <v>1317</v>
      </c>
      <c r="B2904" s="11" t="s">
        <v>19</v>
      </c>
      <c r="C2904" s="6"/>
      <c r="D2904" s="4" t="s">
        <v>20</v>
      </c>
      <c r="E2904" s="5">
        <f>SUM(E2901:E2903)*B3802</f>
        <v>0</v>
      </c>
    </row>
    <row r="2905" spans="1:5" x14ac:dyDescent="0.25">
      <c r="A2905" s="6" t="s">
        <v>1317</v>
      </c>
      <c r="B2905" s="11" t="s">
        <v>40</v>
      </c>
      <c r="C2905" s="6"/>
      <c r="D2905" s="4" t="s">
        <v>60</v>
      </c>
      <c r="E2905" s="5">
        <f>SUM(E2901:E2903)*B3799</f>
        <v>0</v>
      </c>
    </row>
    <row r="2906" spans="1:5" x14ac:dyDescent="0.25">
      <c r="A2906" s="6"/>
      <c r="B2906" s="6"/>
      <c r="C2906" s="6"/>
    </row>
    <row r="2907" spans="1:5" x14ac:dyDescent="0.25">
      <c r="A2907" s="6" t="s">
        <v>394</v>
      </c>
      <c r="B2907" s="6"/>
      <c r="C2907" s="6"/>
      <c r="E2907" s="5">
        <f>SUM(E2901:E2905)</f>
        <v>0</v>
      </c>
    </row>
    <row r="2909" spans="1:5" x14ac:dyDescent="0.25">
      <c r="A2909" s="6" t="s">
        <v>1318</v>
      </c>
    </row>
    <row r="2910" spans="1:5" x14ac:dyDescent="0.25">
      <c r="A2910" s="6" t="s">
        <v>12</v>
      </c>
    </row>
    <row r="2911" spans="1:5" x14ac:dyDescent="0.25">
      <c r="A2911" s="6" t="s">
        <v>1319</v>
      </c>
      <c r="B2911" s="6" t="s">
        <v>53</v>
      </c>
      <c r="D2911" s="4" t="s">
        <v>54</v>
      </c>
      <c r="E2911" s="5">
        <v>149595</v>
      </c>
    </row>
    <row r="2912" spans="1:5" x14ac:dyDescent="0.25">
      <c r="A2912" s="6" t="s">
        <v>1319</v>
      </c>
      <c r="B2912" s="6" t="s">
        <v>14</v>
      </c>
      <c r="D2912" s="4" t="s">
        <v>15</v>
      </c>
      <c r="E2912" s="5">
        <v>0</v>
      </c>
    </row>
    <row r="2913" spans="1:6" x14ac:dyDescent="0.25">
      <c r="A2913" s="6" t="s">
        <v>1319</v>
      </c>
      <c r="B2913" s="6" t="s">
        <v>17</v>
      </c>
      <c r="D2913" s="4" t="s">
        <v>18</v>
      </c>
      <c r="E2913" s="5">
        <f>E2912*B3801</f>
        <v>0</v>
      </c>
      <c r="F2913" s="4" t="s">
        <v>4</v>
      </c>
    </row>
    <row r="2914" spans="1:6" x14ac:dyDescent="0.25">
      <c r="A2914" s="6" t="s">
        <v>1319</v>
      </c>
      <c r="B2914" s="6" t="s">
        <v>19</v>
      </c>
      <c r="D2914" s="4" t="s">
        <v>20</v>
      </c>
      <c r="E2914" s="5">
        <f>SUM(E2911:E2912)*B3802</f>
        <v>2169.1275000000001</v>
      </c>
      <c r="F2914" s="4" t="s">
        <v>4</v>
      </c>
    </row>
    <row r="2915" spans="1:6" x14ac:dyDescent="0.25">
      <c r="A2915" s="6" t="s">
        <v>1319</v>
      </c>
      <c r="B2915" s="11" t="s">
        <v>40</v>
      </c>
      <c r="D2915" s="4" t="s">
        <v>60</v>
      </c>
      <c r="E2915" s="5">
        <f>E2911*B3799</f>
        <v>4487.8499999999995</v>
      </c>
    </row>
    <row r="2916" spans="1:6" x14ac:dyDescent="0.25">
      <c r="A2916" s="6" t="s">
        <v>1319</v>
      </c>
      <c r="B2916" s="6" t="s">
        <v>21</v>
      </c>
      <c r="D2916" s="4" t="s">
        <v>22</v>
      </c>
      <c r="E2916" s="5">
        <f>E2912*B3803</f>
        <v>0</v>
      </c>
      <c r="F2916" s="4" t="s">
        <v>4</v>
      </c>
    </row>
    <row r="2918" spans="1:6" x14ac:dyDescent="0.25">
      <c r="A2918" s="6" t="s">
        <v>1320</v>
      </c>
      <c r="B2918" s="6" t="s">
        <v>4</v>
      </c>
      <c r="C2918" s="6" t="s">
        <v>4</v>
      </c>
      <c r="D2918" s="4" t="s">
        <v>4</v>
      </c>
      <c r="E2918" s="5">
        <f>SUM(E2911:E2916)</f>
        <v>156251.97750000001</v>
      </c>
    </row>
    <row r="2919" spans="1:6" hidden="1" x14ac:dyDescent="0.25"/>
    <row r="2920" spans="1:6" hidden="1" x14ac:dyDescent="0.25">
      <c r="A2920" s="6" t="s">
        <v>1321</v>
      </c>
    </row>
    <row r="2921" spans="1:6" hidden="1" x14ac:dyDescent="0.25">
      <c r="A2921" s="6" t="s">
        <v>12</v>
      </c>
    </row>
    <row r="2922" spans="1:6" hidden="1" x14ac:dyDescent="0.25">
      <c r="A2922" s="6" t="s">
        <v>1322</v>
      </c>
      <c r="B2922" s="6" t="s">
        <v>14</v>
      </c>
      <c r="D2922" s="4" t="s">
        <v>15</v>
      </c>
      <c r="E2922" s="5">
        <v>0</v>
      </c>
    </row>
    <row r="2923" spans="1:6" hidden="1" x14ac:dyDescent="0.25">
      <c r="A2923" s="6" t="s">
        <v>1322</v>
      </c>
      <c r="B2923" s="6" t="s">
        <v>17</v>
      </c>
      <c r="D2923" s="4" t="s">
        <v>18</v>
      </c>
      <c r="E2923" s="5">
        <f>E2922*B3801</f>
        <v>0</v>
      </c>
    </row>
    <row r="2924" spans="1:6" hidden="1" x14ac:dyDescent="0.25">
      <c r="A2924" s="6" t="s">
        <v>1322</v>
      </c>
      <c r="B2924" s="6" t="s">
        <v>19</v>
      </c>
      <c r="D2924" s="4" t="s">
        <v>20</v>
      </c>
      <c r="E2924" s="5">
        <f>E2922*B3802</f>
        <v>0</v>
      </c>
    </row>
    <row r="2925" spans="1:6" hidden="1" x14ac:dyDescent="0.25">
      <c r="A2925" s="6" t="s">
        <v>1322</v>
      </c>
      <c r="B2925" s="6" t="s">
        <v>21</v>
      </c>
      <c r="D2925" s="4" t="s">
        <v>22</v>
      </c>
      <c r="E2925" s="5">
        <f>E2922*B3803</f>
        <v>0</v>
      </c>
    </row>
    <row r="2926" spans="1:6" hidden="1" x14ac:dyDescent="0.25">
      <c r="A2926" s="6" t="s">
        <v>1322</v>
      </c>
      <c r="B2926" s="6" t="s">
        <v>61</v>
      </c>
      <c r="D2926" s="4" t="s">
        <v>188</v>
      </c>
    </row>
    <row r="2927" spans="1:6" hidden="1" x14ac:dyDescent="0.25">
      <c r="A2927" s="6" t="s">
        <v>1322</v>
      </c>
      <c r="B2927" s="11" t="s">
        <v>46</v>
      </c>
      <c r="D2927" s="4" t="s">
        <v>599</v>
      </c>
      <c r="E2927" s="5">
        <v>0</v>
      </c>
    </row>
    <row r="2928" spans="1:6" hidden="1" x14ac:dyDescent="0.25"/>
    <row r="2929" spans="1:5" hidden="1" x14ac:dyDescent="0.25">
      <c r="A2929" s="6" t="s">
        <v>1323</v>
      </c>
      <c r="B2929" s="6" t="s">
        <v>4</v>
      </c>
      <c r="C2929" s="6" t="s">
        <v>4</v>
      </c>
      <c r="D2929" s="4" t="s">
        <v>4</v>
      </c>
      <c r="E2929" s="5">
        <f>SUM(E2922:E2927)</f>
        <v>0</v>
      </c>
    </row>
    <row r="2930" spans="1:5" hidden="1" x14ac:dyDescent="0.25"/>
    <row r="2931" spans="1:5" hidden="1" x14ac:dyDescent="0.25">
      <c r="A2931" s="6" t="s">
        <v>1324</v>
      </c>
    </row>
    <row r="2932" spans="1:5" hidden="1" x14ac:dyDescent="0.25">
      <c r="A2932" s="6" t="s">
        <v>12</v>
      </c>
    </row>
    <row r="2933" spans="1:5" hidden="1" x14ac:dyDescent="0.25">
      <c r="A2933" s="6" t="s">
        <v>1325</v>
      </c>
      <c r="B2933" s="6" t="s">
        <v>719</v>
      </c>
      <c r="D2933" s="4" t="s">
        <v>720</v>
      </c>
      <c r="E2933" s="5">
        <v>0</v>
      </c>
    </row>
    <row r="2934" spans="1:5" hidden="1" x14ac:dyDescent="0.25"/>
    <row r="2935" spans="1:5" hidden="1" x14ac:dyDescent="0.25">
      <c r="A2935" s="6" t="s">
        <v>721</v>
      </c>
      <c r="B2935" s="6" t="s">
        <v>4</v>
      </c>
      <c r="C2935" s="6" t="s">
        <v>4</v>
      </c>
      <c r="D2935" s="4" t="s">
        <v>4</v>
      </c>
      <c r="E2935" s="5">
        <f>E2933</f>
        <v>0</v>
      </c>
    </row>
    <row r="2937" spans="1:5" x14ac:dyDescent="0.25">
      <c r="A2937" s="6" t="s">
        <v>1326</v>
      </c>
      <c r="B2937" s="6"/>
      <c r="C2937" s="6"/>
    </row>
    <row r="2938" spans="1:5" x14ac:dyDescent="0.25">
      <c r="A2938" s="6"/>
      <c r="B2938" s="6"/>
      <c r="C2938" s="6"/>
    </row>
    <row r="2939" spans="1:5" x14ac:dyDescent="0.25">
      <c r="A2939" s="6" t="s">
        <v>1327</v>
      </c>
      <c r="B2939" s="11" t="s">
        <v>53</v>
      </c>
      <c r="C2939" s="6"/>
      <c r="D2939" s="4" t="s">
        <v>54</v>
      </c>
      <c r="E2939" s="5">
        <v>78622</v>
      </c>
    </row>
    <row r="2940" spans="1:5" x14ac:dyDescent="0.25">
      <c r="A2940" s="6" t="s">
        <v>1327</v>
      </c>
      <c r="B2940" s="11" t="s">
        <v>14</v>
      </c>
      <c r="C2940" s="6"/>
      <c r="D2940" s="4" t="s">
        <v>15</v>
      </c>
      <c r="E2940" s="5">
        <v>0</v>
      </c>
    </row>
    <row r="2941" spans="1:5" x14ac:dyDescent="0.25">
      <c r="A2941" s="6" t="s">
        <v>1327</v>
      </c>
      <c r="B2941" s="6" t="s">
        <v>19</v>
      </c>
      <c r="C2941" s="6"/>
      <c r="D2941" s="4" t="s">
        <v>20</v>
      </c>
      <c r="E2941" s="5">
        <f>E2939*B3802</f>
        <v>1140.019</v>
      </c>
    </row>
    <row r="2942" spans="1:5" x14ac:dyDescent="0.25">
      <c r="A2942" s="6" t="s">
        <v>1327</v>
      </c>
      <c r="B2942" s="11" t="s">
        <v>40</v>
      </c>
      <c r="C2942" s="6"/>
      <c r="D2942" s="4" t="s">
        <v>60</v>
      </c>
      <c r="E2942" s="5">
        <f>E2939*B3799</f>
        <v>2358.66</v>
      </c>
    </row>
    <row r="2943" spans="1:5" x14ac:dyDescent="0.25">
      <c r="A2943" s="6"/>
      <c r="B2943" s="6"/>
      <c r="C2943" s="6"/>
    </row>
    <row r="2944" spans="1:5" x14ac:dyDescent="0.25">
      <c r="A2944" s="6" t="s">
        <v>1328</v>
      </c>
      <c r="B2944" s="6"/>
      <c r="C2944" s="6"/>
      <c r="E2944" s="5">
        <f>SUM(E2939:E2942)</f>
        <v>82120.679000000004</v>
      </c>
    </row>
    <row r="2945" spans="1:6" x14ac:dyDescent="0.25">
      <c r="A2945" s="6" t="s">
        <v>1329</v>
      </c>
    </row>
    <row r="2946" spans="1:6" x14ac:dyDescent="0.25">
      <c r="A2946" s="6" t="s">
        <v>12</v>
      </c>
    </row>
    <row r="2947" spans="1:6" x14ac:dyDescent="0.25">
      <c r="A2947" s="6" t="s">
        <v>1330</v>
      </c>
      <c r="B2947" s="6" t="s">
        <v>53</v>
      </c>
      <c r="D2947" s="4" t="s">
        <v>54</v>
      </c>
      <c r="E2947" s="5">
        <v>0</v>
      </c>
    </row>
    <row r="2948" spans="1:6" x14ac:dyDescent="0.25">
      <c r="A2948" s="6" t="s">
        <v>1330</v>
      </c>
      <c r="B2948" s="11" t="s">
        <v>55</v>
      </c>
      <c r="D2948" s="4" t="s">
        <v>56</v>
      </c>
      <c r="E2948" s="5">
        <v>0</v>
      </c>
    </row>
    <row r="2949" spans="1:6" x14ac:dyDescent="0.25">
      <c r="A2949" s="6" t="s">
        <v>1330</v>
      </c>
      <c r="B2949" s="6" t="s">
        <v>32</v>
      </c>
      <c r="D2949" s="4" t="s">
        <v>33</v>
      </c>
      <c r="E2949" s="5">
        <f>2000+500+6000+750</f>
        <v>9250</v>
      </c>
    </row>
    <row r="2950" spans="1:6" x14ac:dyDescent="0.25">
      <c r="A2950" s="6" t="s">
        <v>1330</v>
      </c>
      <c r="B2950" s="11" t="s">
        <v>34</v>
      </c>
      <c r="D2950" s="4" t="s">
        <v>57</v>
      </c>
      <c r="E2950" s="5">
        <f>4468+1200+7000</f>
        <v>12668</v>
      </c>
    </row>
    <row r="2951" spans="1:6" x14ac:dyDescent="0.25">
      <c r="A2951" s="6" t="s">
        <v>1330</v>
      </c>
      <c r="B2951" s="6" t="s">
        <v>254</v>
      </c>
      <c r="D2951" s="4" t="s">
        <v>255</v>
      </c>
      <c r="E2951" s="5">
        <f>24000+35000-19000</f>
        <v>40000</v>
      </c>
    </row>
    <row r="2952" spans="1:6" x14ac:dyDescent="0.25">
      <c r="A2952" s="6" t="s">
        <v>1330</v>
      </c>
      <c r="B2952" s="11" t="s">
        <v>14</v>
      </c>
      <c r="D2952" s="4" t="s">
        <v>15</v>
      </c>
      <c r="E2952" s="5">
        <f>10096</f>
        <v>10096</v>
      </c>
    </row>
    <row r="2953" spans="1:6" x14ac:dyDescent="0.25">
      <c r="A2953" s="6" t="s">
        <v>1330</v>
      </c>
      <c r="B2953" s="11" t="s">
        <v>25</v>
      </c>
      <c r="D2953" s="4" t="s">
        <v>58</v>
      </c>
      <c r="E2953" s="5">
        <f>6000+1000-3060</f>
        <v>3940</v>
      </c>
    </row>
    <row r="2954" spans="1:6" x14ac:dyDescent="0.25">
      <c r="A2954" s="6" t="s">
        <v>1330</v>
      </c>
      <c r="B2954" s="11" t="s">
        <v>648</v>
      </c>
      <c r="D2954" s="4" t="s">
        <v>58</v>
      </c>
      <c r="E2954" s="5">
        <f>6*15*34</f>
        <v>3060</v>
      </c>
      <c r="F2954" s="4" t="s">
        <v>1185</v>
      </c>
    </row>
    <row r="2955" spans="1:6" x14ac:dyDescent="0.25">
      <c r="A2955" s="6" t="s">
        <v>1330</v>
      </c>
      <c r="B2955" s="11" t="s">
        <v>36</v>
      </c>
      <c r="D2955" s="4" t="s">
        <v>37</v>
      </c>
      <c r="E2955" s="5">
        <v>250</v>
      </c>
    </row>
    <row r="2956" spans="1:6" x14ac:dyDescent="0.25">
      <c r="A2956" s="6" t="s">
        <v>1330</v>
      </c>
      <c r="B2956" s="6" t="s">
        <v>17</v>
      </c>
      <c r="D2956" s="4" t="s">
        <v>18</v>
      </c>
      <c r="E2956" s="5">
        <f>(E2952+E2953+E2954+E2955)*B3801</f>
        <v>1075.452</v>
      </c>
    </row>
    <row r="2957" spans="1:6" x14ac:dyDescent="0.25">
      <c r="A2957" s="6" t="s">
        <v>1330</v>
      </c>
      <c r="B2957" s="6" t="s">
        <v>19</v>
      </c>
      <c r="D2957" s="4" t="s">
        <v>20</v>
      </c>
      <c r="E2957" s="5">
        <f>SUM(E2947:E2955)*B3802</f>
        <v>1149.328</v>
      </c>
    </row>
    <row r="2958" spans="1:6" x14ac:dyDescent="0.25">
      <c r="A2958" s="6" t="s">
        <v>1330</v>
      </c>
      <c r="B2958" s="11" t="s">
        <v>40</v>
      </c>
      <c r="D2958" s="4" t="s">
        <v>60</v>
      </c>
      <c r="E2958" s="5">
        <f>SUM(E2947:E2951)*B3799</f>
        <v>1857.54</v>
      </c>
    </row>
    <row r="2959" spans="1:6" x14ac:dyDescent="0.25">
      <c r="A2959" s="6" t="s">
        <v>1330</v>
      </c>
      <c r="B2959" s="6" t="s">
        <v>21</v>
      </c>
      <c r="D2959" s="4" t="s">
        <v>22</v>
      </c>
      <c r="E2959" s="5">
        <f>(E2952+E2953+E2954+E2955)*B3803</f>
        <v>4048.5563999999999</v>
      </c>
    </row>
    <row r="2960" spans="1:6" x14ac:dyDescent="0.25">
      <c r="A2960" s="6" t="s">
        <v>1330</v>
      </c>
      <c r="B2960" s="11" t="s">
        <v>70</v>
      </c>
      <c r="D2960" s="4" t="s">
        <v>335</v>
      </c>
      <c r="E2960" s="5">
        <v>5000</v>
      </c>
    </row>
    <row r="2962" spans="1:5" x14ac:dyDescent="0.25">
      <c r="A2962" s="6" t="s">
        <v>1331</v>
      </c>
      <c r="B2962" s="6" t="s">
        <v>4</v>
      </c>
      <c r="C2962" s="6" t="s">
        <v>4</v>
      </c>
      <c r="D2962" s="4" t="s">
        <v>4</v>
      </c>
      <c r="E2962" s="5">
        <f>SUM(E2947:E2960)</f>
        <v>92394.876399999994</v>
      </c>
    </row>
    <row r="2964" spans="1:5" x14ac:dyDescent="0.25">
      <c r="A2964" s="6" t="s">
        <v>1332</v>
      </c>
    </row>
    <row r="2965" spans="1:5" x14ac:dyDescent="0.25">
      <c r="A2965" s="6" t="s">
        <v>12</v>
      </c>
    </row>
    <row r="2966" spans="1:5" x14ac:dyDescent="0.25">
      <c r="A2966" s="6" t="s">
        <v>1333</v>
      </c>
      <c r="B2966" s="6" t="s">
        <v>32</v>
      </c>
      <c r="D2966" s="4" t="s">
        <v>33</v>
      </c>
      <c r="E2966" s="5">
        <f>1000-1000</f>
        <v>0</v>
      </c>
    </row>
    <row r="2967" spans="1:5" x14ac:dyDescent="0.25">
      <c r="A2967" s="6" t="s">
        <v>1333</v>
      </c>
      <c r="B2967" s="6" t="s">
        <v>19</v>
      </c>
      <c r="D2967" s="4" t="s">
        <v>20</v>
      </c>
      <c r="E2967" s="5">
        <f>E2966*B3802</f>
        <v>0</v>
      </c>
    </row>
    <row r="2968" spans="1:5" x14ac:dyDescent="0.25">
      <c r="A2968" s="6" t="s">
        <v>1333</v>
      </c>
      <c r="B2968" s="11" t="s">
        <v>40</v>
      </c>
      <c r="D2968" s="4" t="s">
        <v>60</v>
      </c>
      <c r="E2968" s="5">
        <f>E2966*B3799</f>
        <v>0</v>
      </c>
    </row>
    <row r="2969" spans="1:5" x14ac:dyDescent="0.25">
      <c r="A2969" s="6" t="s">
        <v>1333</v>
      </c>
      <c r="B2969" s="6" t="s">
        <v>46</v>
      </c>
      <c r="D2969" s="4" t="s">
        <v>47</v>
      </c>
      <c r="E2969" s="5">
        <f>1000-500</f>
        <v>500</v>
      </c>
    </row>
    <row r="2971" spans="1:5" x14ac:dyDescent="0.25">
      <c r="A2971" s="6" t="s">
        <v>1334</v>
      </c>
      <c r="B2971" s="6" t="s">
        <v>4</v>
      </c>
      <c r="C2971" s="6" t="s">
        <v>4</v>
      </c>
      <c r="D2971" s="4" t="s">
        <v>4</v>
      </c>
      <c r="E2971" s="5">
        <f>SUM(E2966:E2969)</f>
        <v>500</v>
      </c>
    </row>
    <row r="2973" spans="1:5" x14ac:dyDescent="0.25">
      <c r="A2973" s="6" t="s">
        <v>1335</v>
      </c>
    </row>
    <row r="2974" spans="1:5" x14ac:dyDescent="0.25">
      <c r="A2974" s="6" t="s">
        <v>12</v>
      </c>
    </row>
    <row r="2975" spans="1:5" x14ac:dyDescent="0.25">
      <c r="A2975" s="6" t="s">
        <v>1336</v>
      </c>
      <c r="B2975" s="6" t="s">
        <v>32</v>
      </c>
      <c r="D2975" s="4" t="s">
        <v>33</v>
      </c>
      <c r="E2975" s="5">
        <v>2750</v>
      </c>
    </row>
    <row r="2976" spans="1:5" x14ac:dyDescent="0.25">
      <c r="A2976" s="6" t="s">
        <v>1336</v>
      </c>
      <c r="B2976" s="11" t="s">
        <v>25</v>
      </c>
      <c r="D2976" s="4" t="s">
        <v>15</v>
      </c>
      <c r="E2976" s="5">
        <v>1100</v>
      </c>
    </row>
    <row r="2977" spans="1:5" x14ac:dyDescent="0.25">
      <c r="A2977" s="6" t="s">
        <v>1336</v>
      </c>
      <c r="B2977" s="11" t="s">
        <v>38</v>
      </c>
      <c r="D2977" s="4" t="s">
        <v>1337</v>
      </c>
      <c r="E2977" s="5">
        <f>550+850</f>
        <v>1400</v>
      </c>
    </row>
    <row r="2978" spans="1:5" x14ac:dyDescent="0.25">
      <c r="A2978" s="6" t="s">
        <v>1336</v>
      </c>
      <c r="B2978" s="6" t="s">
        <v>17</v>
      </c>
      <c r="D2978" s="4" t="s">
        <v>18</v>
      </c>
      <c r="E2978" s="5">
        <f>(E2976+E2977)*B3801</f>
        <v>155</v>
      </c>
    </row>
    <row r="2979" spans="1:5" x14ac:dyDescent="0.25">
      <c r="A2979" s="6" t="s">
        <v>1336</v>
      </c>
      <c r="B2979" s="6" t="s">
        <v>19</v>
      </c>
      <c r="D2979" s="4" t="s">
        <v>20</v>
      </c>
      <c r="E2979" s="5">
        <f>SUM(E2975:E2977)*B3802</f>
        <v>76.125</v>
      </c>
    </row>
    <row r="2980" spans="1:5" x14ac:dyDescent="0.25">
      <c r="A2980" s="6" t="s">
        <v>1336</v>
      </c>
      <c r="B2980" s="11" t="s">
        <v>40</v>
      </c>
      <c r="D2980" s="4" t="s">
        <v>60</v>
      </c>
      <c r="E2980" s="5">
        <f>E2975*B3799</f>
        <v>82.5</v>
      </c>
    </row>
    <row r="2981" spans="1:5" x14ac:dyDescent="0.25">
      <c r="A2981" s="6" t="s">
        <v>1336</v>
      </c>
      <c r="B2981" s="11" t="s">
        <v>21</v>
      </c>
      <c r="D2981" s="4" t="s">
        <v>22</v>
      </c>
      <c r="E2981" s="5">
        <f>(E2976+E2977)*B3803</f>
        <v>583.5</v>
      </c>
    </row>
    <row r="2983" spans="1:5" x14ac:dyDescent="0.25">
      <c r="A2983" s="6" t="s">
        <v>1338</v>
      </c>
      <c r="B2983" s="6" t="s">
        <v>4</v>
      </c>
      <c r="C2983" s="6" t="s">
        <v>4</v>
      </c>
      <c r="D2983" s="4" t="s">
        <v>4</v>
      </c>
      <c r="E2983" s="5">
        <f>SUM(E2975:E2981)</f>
        <v>6147.125</v>
      </c>
    </row>
    <row r="2984" spans="1:5" x14ac:dyDescent="0.25">
      <c r="A2984" s="6"/>
      <c r="B2984" s="6"/>
      <c r="C2984" s="6"/>
    </row>
    <row r="2985" spans="1:5" x14ac:dyDescent="0.25">
      <c r="A2985" s="6" t="s">
        <v>1339</v>
      </c>
    </row>
    <row r="2986" spans="1:5" x14ac:dyDescent="0.25">
      <c r="A2986" s="6" t="s">
        <v>12</v>
      </c>
    </row>
    <row r="2987" spans="1:5" x14ac:dyDescent="0.25">
      <c r="A2987" s="11" t="s">
        <v>1340</v>
      </c>
      <c r="B2987" s="11" t="s">
        <v>55</v>
      </c>
      <c r="D2987" s="4" t="s">
        <v>56</v>
      </c>
      <c r="E2987" s="5">
        <v>2878</v>
      </c>
    </row>
    <row r="2988" spans="1:5" x14ac:dyDescent="0.25">
      <c r="A2988" s="11" t="s">
        <v>1340</v>
      </c>
      <c r="B2988" s="11" t="s">
        <v>32</v>
      </c>
      <c r="D2988" s="4" t="s">
        <v>33</v>
      </c>
      <c r="E2988" s="5">
        <v>5109</v>
      </c>
    </row>
    <row r="2989" spans="1:5" x14ac:dyDescent="0.25">
      <c r="A2989" s="11" t="s">
        <v>1340</v>
      </c>
      <c r="B2989" s="11" t="s">
        <v>19</v>
      </c>
      <c r="D2989" s="4" t="s">
        <v>20</v>
      </c>
      <c r="E2989" s="5">
        <f>SUM(E2987:E2988)*B3802</f>
        <v>115.81150000000001</v>
      </c>
    </row>
    <row r="2990" spans="1:5" x14ac:dyDescent="0.25">
      <c r="A2990" s="11" t="s">
        <v>1340</v>
      </c>
      <c r="B2990" s="11" t="s">
        <v>40</v>
      </c>
      <c r="D2990" s="4" t="s">
        <v>60</v>
      </c>
      <c r="E2990" s="5">
        <f>SUM(E2987:E2988)*B3799</f>
        <v>239.60999999999999</v>
      </c>
    </row>
    <row r="2992" spans="1:5" x14ac:dyDescent="0.25">
      <c r="A2992" s="6" t="s">
        <v>1341</v>
      </c>
      <c r="E2992" s="5">
        <f>SUM(E2987:E2990)</f>
        <v>8342.4215000000004</v>
      </c>
    </row>
    <row r="2994" spans="1:5" x14ac:dyDescent="0.25">
      <c r="A2994" s="6" t="s">
        <v>1342</v>
      </c>
    </row>
    <row r="2995" spans="1:5" x14ac:dyDescent="0.25">
      <c r="A2995" s="6" t="s">
        <v>12</v>
      </c>
    </row>
    <row r="2996" spans="1:5" x14ac:dyDescent="0.25">
      <c r="A2996" s="6" t="s">
        <v>1343</v>
      </c>
      <c r="B2996" s="11" t="s">
        <v>55</v>
      </c>
      <c r="D2996" s="4" t="s">
        <v>56</v>
      </c>
      <c r="E2996" s="5">
        <v>26656</v>
      </c>
    </row>
    <row r="2997" spans="1:5" x14ac:dyDescent="0.25">
      <c r="A2997" s="6" t="s">
        <v>1343</v>
      </c>
      <c r="B2997" s="11" t="s">
        <v>32</v>
      </c>
      <c r="D2997" s="4" t="s">
        <v>33</v>
      </c>
      <c r="E2997" s="5">
        <v>24435</v>
      </c>
    </row>
    <row r="2998" spans="1:5" x14ac:dyDescent="0.25">
      <c r="A2998" s="6" t="s">
        <v>1343</v>
      </c>
      <c r="B2998" s="11" t="s">
        <v>14</v>
      </c>
      <c r="D2998" s="4" t="s">
        <v>15</v>
      </c>
      <c r="E2998" s="5">
        <v>8359</v>
      </c>
    </row>
    <row r="2999" spans="1:5" x14ac:dyDescent="0.25">
      <c r="A2999" s="6" t="s">
        <v>1343</v>
      </c>
      <c r="B2999" s="11" t="s">
        <v>17</v>
      </c>
      <c r="D2999" s="4" t="s">
        <v>18</v>
      </c>
      <c r="E2999" s="5">
        <f>E2998*B3801</f>
        <v>518.25800000000004</v>
      </c>
    </row>
    <row r="3000" spans="1:5" x14ac:dyDescent="0.25">
      <c r="A3000" s="6" t="s">
        <v>1343</v>
      </c>
      <c r="B3000" s="11" t="s">
        <v>19</v>
      </c>
      <c r="D3000" s="4" t="s">
        <v>20</v>
      </c>
      <c r="E3000" s="5">
        <f>SUM(E2996:E2998)*B3798</f>
        <v>862.02500000000009</v>
      </c>
    </row>
    <row r="3001" spans="1:5" x14ac:dyDescent="0.25">
      <c r="A3001" s="6" t="s">
        <v>1343</v>
      </c>
      <c r="B3001" s="11" t="s">
        <v>40</v>
      </c>
      <c r="D3001" s="4" t="s">
        <v>60</v>
      </c>
      <c r="E3001" s="5">
        <f>SUM(E2996:E2997)*B3799</f>
        <v>1532.73</v>
      </c>
    </row>
    <row r="3002" spans="1:5" x14ac:dyDescent="0.25">
      <c r="A3002" s="6" t="s">
        <v>1343</v>
      </c>
      <c r="B3002" s="11" t="s">
        <v>21</v>
      </c>
      <c r="D3002" s="4" t="s">
        <v>22</v>
      </c>
      <c r="E3002" s="5">
        <f>E2998*B3803</f>
        <v>1950.9905999999999</v>
      </c>
    </row>
    <row r="3004" spans="1:5" x14ac:dyDescent="0.25">
      <c r="A3004" s="6" t="s">
        <v>1344</v>
      </c>
      <c r="E3004" s="5">
        <f>SUM(E2996:E3002)</f>
        <v>64314.003600000004</v>
      </c>
    </row>
    <row r="3006" spans="1:5" x14ac:dyDescent="0.25">
      <c r="A3006" s="6" t="s">
        <v>1345</v>
      </c>
    </row>
    <row r="3007" spans="1:5" x14ac:dyDescent="0.25">
      <c r="A3007" s="6" t="s">
        <v>12</v>
      </c>
    </row>
    <row r="3008" spans="1:5" x14ac:dyDescent="0.25">
      <c r="A3008" s="6" t="s">
        <v>1346</v>
      </c>
      <c r="B3008" s="12" t="s">
        <v>34</v>
      </c>
      <c r="D3008" s="4" t="s">
        <v>57</v>
      </c>
      <c r="E3008" s="5">
        <v>0</v>
      </c>
    </row>
    <row r="3009" spans="1:5" x14ac:dyDescent="0.25">
      <c r="A3009" s="6" t="s">
        <v>1346</v>
      </c>
      <c r="B3009" s="12" t="s">
        <v>19</v>
      </c>
      <c r="D3009" s="4" t="s">
        <v>20</v>
      </c>
      <c r="E3009" s="5">
        <f>E3008*B3798</f>
        <v>0</v>
      </c>
    </row>
    <row r="3010" spans="1:5" x14ac:dyDescent="0.25">
      <c r="A3010" s="6" t="s">
        <v>1346</v>
      </c>
      <c r="B3010" s="12" t="s">
        <v>40</v>
      </c>
      <c r="D3010" s="4" t="s">
        <v>60</v>
      </c>
      <c r="E3010" s="5">
        <f>E3008*B3799</f>
        <v>0</v>
      </c>
    </row>
    <row r="3011" spans="1:5" x14ac:dyDescent="0.25">
      <c r="A3011" s="6" t="s">
        <v>1346</v>
      </c>
      <c r="B3011" s="12" t="s">
        <v>159</v>
      </c>
      <c r="D3011" s="4" t="s">
        <v>371</v>
      </c>
      <c r="E3011" s="5">
        <v>0</v>
      </c>
    </row>
    <row r="3012" spans="1:5" x14ac:dyDescent="0.25">
      <c r="A3012" s="6" t="s">
        <v>1346</v>
      </c>
      <c r="B3012" s="12" t="s">
        <v>44</v>
      </c>
      <c r="D3012" s="4" t="s">
        <v>45</v>
      </c>
      <c r="E3012" s="5">
        <f>5000+1520+3050</f>
        <v>9570</v>
      </c>
    </row>
    <row r="3013" spans="1:5" x14ac:dyDescent="0.25">
      <c r="A3013" s="6" t="s">
        <v>1346</v>
      </c>
      <c r="B3013" s="6" t="s">
        <v>161</v>
      </c>
      <c r="D3013" s="4" t="s">
        <v>162</v>
      </c>
      <c r="E3013" s="5">
        <f>10000+1000+500</f>
        <v>11500</v>
      </c>
    </row>
    <row r="3014" spans="1:5" x14ac:dyDescent="0.25">
      <c r="A3014" s="6" t="s">
        <v>1346</v>
      </c>
      <c r="B3014" s="6" t="s">
        <v>167</v>
      </c>
      <c r="D3014" s="4" t="s">
        <v>537</v>
      </c>
      <c r="E3014" s="5">
        <f>2500-500</f>
        <v>2000</v>
      </c>
    </row>
    <row r="3015" spans="1:5" x14ac:dyDescent="0.25">
      <c r="A3015" s="6" t="s">
        <v>1346</v>
      </c>
      <c r="B3015" s="11" t="s">
        <v>169</v>
      </c>
      <c r="D3015" s="4" t="s">
        <v>170</v>
      </c>
      <c r="E3015" s="5">
        <v>1000</v>
      </c>
    </row>
    <row r="3016" spans="1:5" x14ac:dyDescent="0.25">
      <c r="A3016" s="6" t="s">
        <v>1346</v>
      </c>
      <c r="B3016" s="11" t="s">
        <v>171</v>
      </c>
      <c r="D3016" s="4" t="s">
        <v>172</v>
      </c>
      <c r="E3016" s="5">
        <v>6000</v>
      </c>
    </row>
    <row r="3017" spans="1:5" x14ac:dyDescent="0.25">
      <c r="A3017" s="6" t="s">
        <v>1346</v>
      </c>
      <c r="B3017" s="6" t="s">
        <v>173</v>
      </c>
      <c r="D3017" s="4" t="s">
        <v>538</v>
      </c>
      <c r="E3017" s="5">
        <v>8000</v>
      </c>
    </row>
    <row r="3018" spans="1:5" x14ac:dyDescent="0.25">
      <c r="A3018" s="6" t="s">
        <v>1346</v>
      </c>
      <c r="B3018" s="11" t="s">
        <v>736</v>
      </c>
      <c r="D3018" s="4" t="s">
        <v>737</v>
      </c>
      <c r="E3018" s="5">
        <v>0</v>
      </c>
    </row>
    <row r="3019" spans="1:5" x14ac:dyDescent="0.25">
      <c r="A3019" s="6" t="s">
        <v>1346</v>
      </c>
      <c r="B3019" s="11" t="s">
        <v>542</v>
      </c>
      <c r="D3019" s="4" t="s">
        <v>637</v>
      </c>
      <c r="E3019" s="5">
        <v>250</v>
      </c>
    </row>
    <row r="3020" spans="1:5" x14ac:dyDescent="0.25">
      <c r="A3020" s="6" t="s">
        <v>1346</v>
      </c>
      <c r="B3020" s="11" t="s">
        <v>175</v>
      </c>
      <c r="D3020" s="4" t="s">
        <v>1347</v>
      </c>
      <c r="E3020" s="5">
        <v>1000</v>
      </c>
    </row>
    <row r="3021" spans="1:5" x14ac:dyDescent="0.25">
      <c r="A3021" s="6" t="s">
        <v>1346</v>
      </c>
      <c r="B3021" s="6" t="s">
        <v>46</v>
      </c>
      <c r="D3021" s="4" t="s">
        <v>47</v>
      </c>
      <c r="E3021" s="5">
        <v>22000</v>
      </c>
    </row>
    <row r="3022" spans="1:5" x14ac:dyDescent="0.25">
      <c r="A3022" s="6" t="s">
        <v>1346</v>
      </c>
      <c r="B3022" s="6" t="s">
        <v>177</v>
      </c>
      <c r="D3022" s="4" t="s">
        <v>178</v>
      </c>
      <c r="E3022" s="5">
        <f>10000+7000</f>
        <v>17000</v>
      </c>
    </row>
    <row r="3023" spans="1:5" x14ac:dyDescent="0.25">
      <c r="A3023" s="6" t="s">
        <v>1346</v>
      </c>
      <c r="B3023" s="6" t="s">
        <v>179</v>
      </c>
      <c r="D3023" s="4" t="s">
        <v>180</v>
      </c>
      <c r="E3023" s="5">
        <v>55000</v>
      </c>
    </row>
    <row r="3024" spans="1:5" x14ac:dyDescent="0.25">
      <c r="A3024" s="6" t="s">
        <v>1346</v>
      </c>
      <c r="B3024" s="11" t="s">
        <v>544</v>
      </c>
      <c r="D3024" s="4" t="s">
        <v>545</v>
      </c>
      <c r="E3024" s="5">
        <v>3000</v>
      </c>
    </row>
    <row r="3025" spans="1:5" x14ac:dyDescent="0.25">
      <c r="A3025" s="6" t="s">
        <v>1346</v>
      </c>
      <c r="B3025" s="11" t="s">
        <v>183</v>
      </c>
      <c r="D3025" s="4" t="s">
        <v>844</v>
      </c>
      <c r="E3025" s="5">
        <v>0</v>
      </c>
    </row>
    <row r="3026" spans="1:5" x14ac:dyDescent="0.25">
      <c r="A3026" s="6" t="s">
        <v>1346</v>
      </c>
      <c r="B3026" s="11" t="s">
        <v>1002</v>
      </c>
      <c r="D3026" s="4" t="s">
        <v>1348</v>
      </c>
      <c r="E3026" s="5">
        <v>0</v>
      </c>
    </row>
    <row r="3027" spans="1:5" x14ac:dyDescent="0.25">
      <c r="A3027" s="6" t="s">
        <v>1346</v>
      </c>
      <c r="B3027" s="11" t="s">
        <v>112</v>
      </c>
      <c r="D3027" s="4" t="s">
        <v>1349</v>
      </c>
      <c r="E3027" s="5">
        <v>0</v>
      </c>
    </row>
    <row r="3028" spans="1:5" x14ac:dyDescent="0.25">
      <c r="A3028" s="6" t="s">
        <v>1346</v>
      </c>
      <c r="B3028" s="11" t="s">
        <v>131</v>
      </c>
      <c r="D3028" s="4" t="s">
        <v>132</v>
      </c>
      <c r="E3028" s="5">
        <v>6000</v>
      </c>
    </row>
    <row r="3029" spans="1:5" x14ac:dyDescent="0.25">
      <c r="A3029" s="6" t="s">
        <v>1346</v>
      </c>
      <c r="B3029" s="6" t="s">
        <v>192</v>
      </c>
      <c r="D3029" s="4" t="s">
        <v>546</v>
      </c>
      <c r="E3029" s="5">
        <v>1000</v>
      </c>
    </row>
    <row r="3031" spans="1:5" x14ac:dyDescent="0.25">
      <c r="A3031" s="6" t="s">
        <v>1350</v>
      </c>
      <c r="B3031" s="6" t="s">
        <v>4</v>
      </c>
      <c r="C3031" s="6" t="s">
        <v>4</v>
      </c>
      <c r="D3031" s="4" t="s">
        <v>4</v>
      </c>
      <c r="E3031" s="5">
        <f>SUM(E3008:E3029)</f>
        <v>143320</v>
      </c>
    </row>
    <row r="3033" spans="1:5" x14ac:dyDescent="0.25">
      <c r="A3033" s="6" t="s">
        <v>1351</v>
      </c>
    </row>
    <row r="3034" spans="1:5" x14ac:dyDescent="0.25">
      <c r="A3034" s="6" t="s">
        <v>12</v>
      </c>
    </row>
    <row r="3035" spans="1:5" x14ac:dyDescent="0.25">
      <c r="A3035" s="6" t="s">
        <v>1352</v>
      </c>
      <c r="B3035" s="6" t="s">
        <v>165</v>
      </c>
      <c r="D3035" s="4" t="s">
        <v>550</v>
      </c>
      <c r="E3035" s="5">
        <v>12000</v>
      </c>
    </row>
    <row r="3037" spans="1:5" x14ac:dyDescent="0.25">
      <c r="A3037" s="6" t="s">
        <v>1353</v>
      </c>
      <c r="B3037" s="6" t="s">
        <v>4</v>
      </c>
      <c r="C3037" s="6" t="s">
        <v>4</v>
      </c>
      <c r="D3037" s="4" t="s">
        <v>4</v>
      </c>
      <c r="E3037" s="5">
        <f>E3035</f>
        <v>12000</v>
      </c>
    </row>
    <row r="3039" spans="1:5" hidden="1" x14ac:dyDescent="0.25">
      <c r="A3039" s="6" t="s">
        <v>1354</v>
      </c>
    </row>
    <row r="3040" spans="1:5" hidden="1" x14ac:dyDescent="0.25">
      <c r="A3040" s="6" t="s">
        <v>12</v>
      </c>
    </row>
    <row r="3041" spans="1:5" hidden="1" x14ac:dyDescent="0.25">
      <c r="A3041" s="6" t="s">
        <v>1355</v>
      </c>
      <c r="B3041" s="6" t="s">
        <v>14</v>
      </c>
      <c r="D3041" s="4" t="s">
        <v>15</v>
      </c>
      <c r="E3041" s="5">
        <v>0</v>
      </c>
    </row>
    <row r="3042" spans="1:5" hidden="1" x14ac:dyDescent="0.25">
      <c r="A3042" s="6" t="s">
        <v>1355</v>
      </c>
      <c r="B3042" s="6" t="s">
        <v>17</v>
      </c>
      <c r="D3042" s="4" t="s">
        <v>18</v>
      </c>
      <c r="E3042" s="5">
        <f>E3041*B3801</f>
        <v>0</v>
      </c>
    </row>
    <row r="3043" spans="1:5" hidden="1" x14ac:dyDescent="0.25">
      <c r="A3043" s="6" t="s">
        <v>1355</v>
      </c>
      <c r="B3043" s="6" t="s">
        <v>19</v>
      </c>
      <c r="D3043" s="4" t="s">
        <v>20</v>
      </c>
      <c r="E3043" s="5">
        <f>E3041*B3802</f>
        <v>0</v>
      </c>
    </row>
    <row r="3044" spans="1:5" hidden="1" x14ac:dyDescent="0.25">
      <c r="A3044" s="6" t="s">
        <v>1355</v>
      </c>
      <c r="B3044" s="6" t="s">
        <v>21</v>
      </c>
      <c r="D3044" s="4" t="s">
        <v>22</v>
      </c>
      <c r="E3044" s="5">
        <f>E3041*B3803</f>
        <v>0</v>
      </c>
    </row>
    <row r="3045" spans="1:5" hidden="1" x14ac:dyDescent="0.25">
      <c r="A3045" s="6" t="s">
        <v>1355</v>
      </c>
      <c r="B3045" s="11" t="s">
        <v>27</v>
      </c>
      <c r="D3045" s="4" t="s">
        <v>1356</v>
      </c>
      <c r="E3045" s="5">
        <v>0</v>
      </c>
    </row>
    <row r="3046" spans="1:5" hidden="1" x14ac:dyDescent="0.25"/>
    <row r="3047" spans="1:5" hidden="1" x14ac:dyDescent="0.25">
      <c r="A3047" s="6" t="s">
        <v>1357</v>
      </c>
      <c r="B3047" s="6" t="s">
        <v>4</v>
      </c>
      <c r="C3047" s="6" t="s">
        <v>4</v>
      </c>
      <c r="D3047" s="4" t="s">
        <v>4</v>
      </c>
      <c r="E3047" s="5">
        <f>SUM(E3041:E3045)</f>
        <v>0</v>
      </c>
    </row>
    <row r="3048" spans="1:5" hidden="1" x14ac:dyDescent="0.25"/>
    <row r="3049" spans="1:5" hidden="1" x14ac:dyDescent="0.25">
      <c r="A3049" s="6" t="s">
        <v>1358</v>
      </c>
    </row>
    <row r="3050" spans="1:5" hidden="1" x14ac:dyDescent="0.25">
      <c r="A3050" s="6" t="s">
        <v>12</v>
      </c>
    </row>
    <row r="3051" spans="1:5" hidden="1" x14ac:dyDescent="0.25">
      <c r="A3051" s="6" t="s">
        <v>1359</v>
      </c>
      <c r="B3051" s="6" t="s">
        <v>46</v>
      </c>
      <c r="D3051" s="4" t="s">
        <v>47</v>
      </c>
    </row>
    <row r="3052" spans="1:5" hidden="1" x14ac:dyDescent="0.25">
      <c r="A3052" s="6" t="s">
        <v>1359</v>
      </c>
      <c r="B3052" s="6" t="s">
        <v>192</v>
      </c>
      <c r="D3052" s="4" t="s">
        <v>546</v>
      </c>
      <c r="E3052" s="5">
        <v>0</v>
      </c>
    </row>
    <row r="3053" spans="1:5" hidden="1" x14ac:dyDescent="0.25"/>
    <row r="3054" spans="1:5" hidden="1" x14ac:dyDescent="0.25">
      <c r="A3054" s="6" t="s">
        <v>1360</v>
      </c>
      <c r="B3054" s="6" t="s">
        <v>4</v>
      </c>
      <c r="C3054" s="6" t="s">
        <v>4</v>
      </c>
      <c r="D3054" s="4" t="s">
        <v>4</v>
      </c>
      <c r="E3054" s="5">
        <f>E3051+E3052</f>
        <v>0</v>
      </c>
    </row>
    <row r="3055" spans="1:5" hidden="1" x14ac:dyDescent="0.25"/>
    <row r="3056" spans="1:5" x14ac:dyDescent="0.25">
      <c r="A3056" s="6" t="s">
        <v>1361</v>
      </c>
    </row>
    <row r="3057" spans="1:5" x14ac:dyDescent="0.25">
      <c r="A3057" s="6" t="s">
        <v>12</v>
      </c>
    </row>
    <row r="3058" spans="1:5" x14ac:dyDescent="0.25">
      <c r="A3058" s="11" t="s">
        <v>1362</v>
      </c>
      <c r="B3058" s="6" t="s">
        <v>53</v>
      </c>
      <c r="D3058" s="4" t="s">
        <v>54</v>
      </c>
      <c r="E3058" s="5">
        <v>141467</v>
      </c>
    </row>
    <row r="3059" spans="1:5" x14ac:dyDescent="0.25">
      <c r="A3059" s="11" t="s">
        <v>1362</v>
      </c>
      <c r="B3059" s="11" t="s">
        <v>14</v>
      </c>
      <c r="C3059" s="6"/>
      <c r="D3059" s="4" t="s">
        <v>15</v>
      </c>
      <c r="E3059" s="5">
        <v>81031</v>
      </c>
    </row>
    <row r="3060" spans="1:5" x14ac:dyDescent="0.25">
      <c r="A3060" s="11" t="s">
        <v>1362</v>
      </c>
      <c r="B3060" s="6" t="s">
        <v>17</v>
      </c>
      <c r="D3060" s="4" t="s">
        <v>18</v>
      </c>
      <c r="E3060" s="5">
        <f>E3059*B3801</f>
        <v>5023.9219999999996</v>
      </c>
    </row>
    <row r="3061" spans="1:5" x14ac:dyDescent="0.25">
      <c r="A3061" s="11" t="s">
        <v>1362</v>
      </c>
      <c r="B3061" s="6" t="s">
        <v>19</v>
      </c>
      <c r="D3061" s="4" t="s">
        <v>20</v>
      </c>
      <c r="E3061" s="5">
        <f>(E3058+E3059)*B3798</f>
        <v>3226.221</v>
      </c>
    </row>
    <row r="3062" spans="1:5" x14ac:dyDescent="0.25">
      <c r="A3062" s="11" t="s">
        <v>1362</v>
      </c>
      <c r="B3062" s="11" t="s">
        <v>40</v>
      </c>
      <c r="D3062" s="4" t="s">
        <v>60</v>
      </c>
      <c r="E3062" s="5">
        <f>E3058*B3799</f>
        <v>4244.01</v>
      </c>
    </row>
    <row r="3063" spans="1:5" x14ac:dyDescent="0.25">
      <c r="A3063" s="11" t="s">
        <v>1362</v>
      </c>
      <c r="B3063" s="6" t="s">
        <v>21</v>
      </c>
      <c r="D3063" s="4" t="s">
        <v>22</v>
      </c>
      <c r="E3063" s="5">
        <f>E3059*B3803</f>
        <v>18912.635399999999</v>
      </c>
    </row>
    <row r="3064" spans="1:5" x14ac:dyDescent="0.25">
      <c r="A3064" s="11"/>
      <c r="B3064" s="11"/>
    </row>
    <row r="3065" spans="1:5" x14ac:dyDescent="0.25">
      <c r="A3065" s="6" t="s">
        <v>394</v>
      </c>
      <c r="B3065" s="11"/>
      <c r="E3065" s="5">
        <f>SUM(E3058:E3063)</f>
        <v>253904.78839999999</v>
      </c>
    </row>
    <row r="3067" spans="1:5" x14ac:dyDescent="0.25">
      <c r="A3067" s="6" t="s">
        <v>1363</v>
      </c>
    </row>
    <row r="3068" spans="1:5" x14ac:dyDescent="0.25">
      <c r="A3068" s="6" t="s">
        <v>12</v>
      </c>
    </row>
    <row r="3069" spans="1:5" x14ac:dyDescent="0.25">
      <c r="A3069" s="6" t="s">
        <v>1364</v>
      </c>
      <c r="B3069" s="6" t="s">
        <v>53</v>
      </c>
      <c r="D3069" s="4" t="s">
        <v>54</v>
      </c>
      <c r="E3069" s="5">
        <v>56011</v>
      </c>
    </row>
    <row r="3070" spans="1:5" x14ac:dyDescent="0.25">
      <c r="A3070" s="6" t="s">
        <v>1364</v>
      </c>
      <c r="B3070" s="11" t="s">
        <v>55</v>
      </c>
      <c r="D3070" s="4" t="s">
        <v>56</v>
      </c>
      <c r="E3070" s="5">
        <v>0</v>
      </c>
    </row>
    <row r="3071" spans="1:5" x14ac:dyDescent="0.25">
      <c r="A3071" s="6" t="s">
        <v>1364</v>
      </c>
      <c r="B3071" s="6" t="s">
        <v>19</v>
      </c>
      <c r="D3071" s="4" t="s">
        <v>20</v>
      </c>
      <c r="E3071" s="5">
        <f>(E3069+E3070)*B3798</f>
        <v>812.15950000000009</v>
      </c>
    </row>
    <row r="3072" spans="1:5" x14ac:dyDescent="0.25">
      <c r="A3072" s="6" t="s">
        <v>1364</v>
      </c>
      <c r="B3072" s="11" t="s">
        <v>40</v>
      </c>
      <c r="D3072" s="4" t="s">
        <v>60</v>
      </c>
      <c r="E3072" s="5">
        <f>(E3069+E3070)*B3799</f>
        <v>1680.33</v>
      </c>
    </row>
    <row r="3073" spans="1:5" x14ac:dyDescent="0.25">
      <c r="A3073" s="6" t="s">
        <v>1364</v>
      </c>
      <c r="B3073" s="6" t="s">
        <v>44</v>
      </c>
      <c r="D3073" s="4" t="s">
        <v>120</v>
      </c>
      <c r="E3073" s="5">
        <v>0</v>
      </c>
    </row>
    <row r="3075" spans="1:5" x14ac:dyDescent="0.25">
      <c r="A3075" s="6" t="s">
        <v>1365</v>
      </c>
      <c r="B3075" s="6" t="s">
        <v>4</v>
      </c>
      <c r="C3075" s="6" t="s">
        <v>4</v>
      </c>
      <c r="D3075" s="4" t="s">
        <v>4</v>
      </c>
      <c r="E3075" s="5">
        <f>SUM(E3069:E3073)</f>
        <v>58503.489500000003</v>
      </c>
    </row>
    <row r="3076" spans="1:5" x14ac:dyDescent="0.25">
      <c r="A3076" s="6"/>
      <c r="B3076" s="6"/>
      <c r="C3076" s="6"/>
    </row>
    <row r="3077" spans="1:5" x14ac:dyDescent="0.25">
      <c r="A3077" s="11" t="s">
        <v>1366</v>
      </c>
      <c r="B3077" s="11" t="s">
        <v>14</v>
      </c>
      <c r="C3077" s="6"/>
      <c r="D3077" s="4" t="s">
        <v>15</v>
      </c>
      <c r="E3077" s="5">
        <v>40404</v>
      </c>
    </row>
    <row r="3078" spans="1:5" x14ac:dyDescent="0.25">
      <c r="A3078" s="11" t="s">
        <v>1366</v>
      </c>
      <c r="B3078" s="11" t="s">
        <v>14</v>
      </c>
      <c r="C3078" s="6"/>
      <c r="D3078" s="4" t="s">
        <v>15</v>
      </c>
      <c r="E3078" s="5">
        <v>0</v>
      </c>
    </row>
    <row r="3079" spans="1:5" x14ac:dyDescent="0.25">
      <c r="A3079" s="11" t="s">
        <v>1366</v>
      </c>
      <c r="B3079" s="11" t="s">
        <v>25</v>
      </c>
      <c r="C3079" s="6"/>
      <c r="D3079" s="4" t="s">
        <v>15</v>
      </c>
      <c r="E3079" s="5">
        <f>160*2</f>
        <v>320</v>
      </c>
    </row>
    <row r="3080" spans="1:5" x14ac:dyDescent="0.25">
      <c r="A3080" s="11" t="s">
        <v>1366</v>
      </c>
      <c r="B3080" s="11" t="s">
        <v>17</v>
      </c>
      <c r="C3080" s="6"/>
      <c r="D3080" s="4" t="s">
        <v>18</v>
      </c>
      <c r="E3080" s="5">
        <f>(E3077+E3079)*B3801</f>
        <v>2524.8879999999999</v>
      </c>
    </row>
    <row r="3081" spans="1:5" x14ac:dyDescent="0.25">
      <c r="A3081" s="11" t="s">
        <v>1366</v>
      </c>
      <c r="B3081" s="11" t="s">
        <v>19</v>
      </c>
      <c r="C3081" s="6"/>
      <c r="D3081" s="4" t="s">
        <v>20</v>
      </c>
      <c r="E3081" s="5">
        <f>(E3077+E3079)*B3798</f>
        <v>590.49800000000005</v>
      </c>
    </row>
    <row r="3082" spans="1:5" x14ac:dyDescent="0.25">
      <c r="A3082" s="11" t="s">
        <v>1366</v>
      </c>
      <c r="B3082" s="11" t="s">
        <v>21</v>
      </c>
      <c r="C3082" s="6"/>
      <c r="D3082" s="4" t="s">
        <v>22</v>
      </c>
      <c r="E3082" s="5">
        <f>(E3077+E3079)*B3803</f>
        <v>9504.9815999999992</v>
      </c>
    </row>
    <row r="3083" spans="1:5" x14ac:dyDescent="0.25">
      <c r="A3083" s="6"/>
      <c r="B3083" s="6"/>
      <c r="C3083" s="6"/>
    </row>
    <row r="3084" spans="1:5" x14ac:dyDescent="0.25">
      <c r="A3084" s="6" t="s">
        <v>394</v>
      </c>
      <c r="B3084" s="6"/>
      <c r="C3084" s="6"/>
      <c r="E3084" s="5">
        <f>SUM(E3077:E3082)</f>
        <v>53344.367599999998</v>
      </c>
    </row>
    <row r="3086" spans="1:5" x14ac:dyDescent="0.25">
      <c r="A3086" s="6" t="s">
        <v>1367</v>
      </c>
    </row>
    <row r="3087" spans="1:5" x14ac:dyDescent="0.25">
      <c r="A3087" s="6" t="s">
        <v>12</v>
      </c>
    </row>
    <row r="3088" spans="1:5" x14ac:dyDescent="0.25">
      <c r="A3088" s="6" t="s">
        <v>1368</v>
      </c>
      <c r="B3088" s="11" t="s">
        <v>53</v>
      </c>
      <c r="D3088" s="4" t="s">
        <v>54</v>
      </c>
      <c r="E3088" s="5">
        <v>78622</v>
      </c>
    </row>
    <row r="3089" spans="1:5" x14ac:dyDescent="0.25">
      <c r="A3089" s="6" t="s">
        <v>1368</v>
      </c>
      <c r="B3089" s="11" t="s">
        <v>19</v>
      </c>
      <c r="D3089" s="4" t="s">
        <v>20</v>
      </c>
      <c r="E3089" s="5">
        <f>E3088*B3798</f>
        <v>1140.019</v>
      </c>
    </row>
    <row r="3090" spans="1:5" x14ac:dyDescent="0.25">
      <c r="A3090" s="6" t="s">
        <v>1368</v>
      </c>
      <c r="B3090" s="11" t="s">
        <v>40</v>
      </c>
      <c r="D3090" s="4" t="s">
        <v>60</v>
      </c>
      <c r="E3090" s="5">
        <f>E3088*B3799</f>
        <v>2358.66</v>
      </c>
    </row>
    <row r="3091" spans="1:5" x14ac:dyDescent="0.25">
      <c r="A3091" s="6" t="s">
        <v>1368</v>
      </c>
      <c r="B3091" s="6" t="s">
        <v>44</v>
      </c>
      <c r="D3091" s="4" t="s">
        <v>120</v>
      </c>
      <c r="E3091" s="5">
        <v>0</v>
      </c>
    </row>
    <row r="3093" spans="1:5" x14ac:dyDescent="0.25">
      <c r="A3093" s="6" t="s">
        <v>1369</v>
      </c>
      <c r="B3093" s="6" t="s">
        <v>4</v>
      </c>
      <c r="C3093" s="6" t="s">
        <v>4</v>
      </c>
      <c r="D3093" s="4" t="s">
        <v>4</v>
      </c>
      <c r="E3093" s="5">
        <f>SUM(E3088:E3091)</f>
        <v>82120.679000000004</v>
      </c>
    </row>
    <row r="3094" spans="1:5" x14ac:dyDescent="0.25">
      <c r="A3094" s="6"/>
      <c r="B3094" s="6"/>
      <c r="C3094" s="6"/>
    </row>
    <row r="3095" spans="1:5" x14ac:dyDescent="0.25">
      <c r="A3095" s="6"/>
      <c r="B3095" s="6"/>
      <c r="C3095" s="6"/>
    </row>
    <row r="3096" spans="1:5" x14ac:dyDescent="0.25">
      <c r="A3096" s="6" t="s">
        <v>1370</v>
      </c>
    </row>
    <row r="3097" spans="1:5" x14ac:dyDescent="0.25">
      <c r="A3097" s="6"/>
    </row>
    <row r="3098" spans="1:5" x14ac:dyDescent="0.25">
      <c r="A3098" s="11" t="s">
        <v>1371</v>
      </c>
      <c r="B3098" s="12" t="s">
        <v>53</v>
      </c>
      <c r="D3098" s="4" t="s">
        <v>54</v>
      </c>
      <c r="E3098" s="5">
        <v>14444</v>
      </c>
    </row>
    <row r="3099" spans="1:5" x14ac:dyDescent="0.25">
      <c r="A3099" s="11" t="s">
        <v>1371</v>
      </c>
      <c r="B3099" s="12" t="s">
        <v>19</v>
      </c>
      <c r="D3099" s="4" t="s">
        <v>20</v>
      </c>
      <c r="E3099" s="14">
        <f>E3098*B3798</f>
        <v>209.43800000000002</v>
      </c>
    </row>
    <row r="3100" spans="1:5" x14ac:dyDescent="0.25">
      <c r="A3100" s="11" t="s">
        <v>1371</v>
      </c>
      <c r="B3100" s="12" t="s">
        <v>40</v>
      </c>
      <c r="D3100" s="4" t="s">
        <v>60</v>
      </c>
      <c r="E3100" s="14">
        <f>E3098*B3799</f>
        <v>433.32</v>
      </c>
    </row>
    <row r="3101" spans="1:5" x14ac:dyDescent="0.25">
      <c r="A3101" s="6"/>
      <c r="B3101" s="6"/>
      <c r="C3101" s="6"/>
    </row>
    <row r="3102" spans="1:5" x14ac:dyDescent="0.25">
      <c r="A3102" s="6" t="s">
        <v>394</v>
      </c>
      <c r="B3102" s="6"/>
      <c r="C3102" s="6"/>
      <c r="E3102" s="5">
        <f>SUM(E3098:E3100)</f>
        <v>15086.758</v>
      </c>
    </row>
    <row r="3103" spans="1:5" x14ac:dyDescent="0.25">
      <c r="A3103" s="6"/>
      <c r="B3103" s="6"/>
      <c r="C3103" s="6"/>
    </row>
    <row r="3104" spans="1:5" hidden="1" x14ac:dyDescent="0.25">
      <c r="A3104" s="6" t="s">
        <v>1372</v>
      </c>
    </row>
    <row r="3105" spans="1:5" hidden="1" x14ac:dyDescent="0.25">
      <c r="A3105" s="6" t="s">
        <v>12</v>
      </c>
    </row>
    <row r="3106" spans="1:5" hidden="1" x14ac:dyDescent="0.25">
      <c r="A3106" s="6" t="s">
        <v>1371</v>
      </c>
      <c r="B3106" s="6" t="s">
        <v>53</v>
      </c>
      <c r="D3106" s="4" t="s">
        <v>54</v>
      </c>
      <c r="E3106" s="5">
        <v>0</v>
      </c>
    </row>
    <row r="3107" spans="1:5" hidden="1" x14ac:dyDescent="0.25">
      <c r="A3107" s="6" t="s">
        <v>1371</v>
      </c>
      <c r="B3107" s="6" t="s">
        <v>19</v>
      </c>
      <c r="D3107" s="4" t="s">
        <v>20</v>
      </c>
      <c r="E3107" s="5">
        <f>E3106*B3798</f>
        <v>0</v>
      </c>
    </row>
    <row r="3108" spans="1:5" hidden="1" x14ac:dyDescent="0.25">
      <c r="A3108" s="6" t="s">
        <v>1371</v>
      </c>
      <c r="B3108" s="11" t="s">
        <v>40</v>
      </c>
      <c r="D3108" s="4" t="s">
        <v>60</v>
      </c>
      <c r="E3108" s="5">
        <f>E3106*B3799</f>
        <v>0</v>
      </c>
    </row>
    <row r="3109" spans="1:5" hidden="1" x14ac:dyDescent="0.25">
      <c r="A3109" s="6" t="s">
        <v>1371</v>
      </c>
      <c r="B3109" s="6" t="s">
        <v>46</v>
      </c>
      <c r="D3109" s="4" t="s">
        <v>47</v>
      </c>
      <c r="E3109" s="5">
        <v>0</v>
      </c>
    </row>
    <row r="3110" spans="1:5" hidden="1" x14ac:dyDescent="0.25">
      <c r="A3110" s="6" t="s">
        <v>1371</v>
      </c>
      <c r="B3110" s="6" t="s">
        <v>498</v>
      </c>
      <c r="D3110" s="4" t="s">
        <v>499</v>
      </c>
      <c r="E3110" s="5">
        <v>0</v>
      </c>
    </row>
    <row r="3111" spans="1:5" hidden="1" x14ac:dyDescent="0.25"/>
    <row r="3112" spans="1:5" hidden="1" x14ac:dyDescent="0.25">
      <c r="A3112" s="6" t="s">
        <v>1373</v>
      </c>
      <c r="B3112" s="6" t="s">
        <v>4</v>
      </c>
      <c r="C3112" s="6" t="s">
        <v>4</v>
      </c>
      <c r="D3112" s="4" t="s">
        <v>4</v>
      </c>
      <c r="E3112" s="5">
        <f>SUM(E3106:E3110)</f>
        <v>0</v>
      </c>
    </row>
    <row r="3113" spans="1:5" hidden="1" x14ac:dyDescent="0.25"/>
    <row r="3114" spans="1:5" x14ac:dyDescent="0.25">
      <c r="A3114" s="6" t="s">
        <v>1374</v>
      </c>
    </row>
    <row r="3115" spans="1:5" x14ac:dyDescent="0.25">
      <c r="A3115" s="6" t="s">
        <v>12</v>
      </c>
    </row>
    <row r="3116" spans="1:5" x14ac:dyDescent="0.25">
      <c r="A3116" s="6" t="s">
        <v>1375</v>
      </c>
      <c r="B3116" s="6" t="s">
        <v>53</v>
      </c>
      <c r="D3116" s="4" t="s">
        <v>54</v>
      </c>
      <c r="E3116" s="5">
        <v>119796</v>
      </c>
    </row>
    <row r="3117" spans="1:5" x14ac:dyDescent="0.25">
      <c r="A3117" s="6" t="s">
        <v>1375</v>
      </c>
      <c r="B3117" s="6" t="s">
        <v>1160</v>
      </c>
      <c r="D3117" s="4" t="s">
        <v>1376</v>
      </c>
      <c r="E3117" s="5">
        <v>0</v>
      </c>
    </row>
    <row r="3118" spans="1:5" x14ac:dyDescent="0.25">
      <c r="A3118" s="6" t="s">
        <v>1375</v>
      </c>
      <c r="B3118" s="6" t="s">
        <v>14</v>
      </c>
      <c r="D3118" s="4" t="s">
        <v>15</v>
      </c>
      <c r="E3118" s="5">
        <v>38470</v>
      </c>
    </row>
    <row r="3119" spans="1:5" x14ac:dyDescent="0.25">
      <c r="A3119" s="6" t="s">
        <v>1375</v>
      </c>
      <c r="B3119" s="6" t="s">
        <v>17</v>
      </c>
      <c r="D3119" s="4" t="s">
        <v>18</v>
      </c>
      <c r="E3119" s="5">
        <f>E3118*B3801</f>
        <v>2385.14</v>
      </c>
    </row>
    <row r="3120" spans="1:5" x14ac:dyDescent="0.25">
      <c r="A3120" s="6" t="s">
        <v>1375</v>
      </c>
      <c r="B3120" s="6" t="s">
        <v>19</v>
      </c>
      <c r="D3120" s="4" t="s">
        <v>20</v>
      </c>
      <c r="E3120" s="5">
        <f>SUM(E3116:E3118)*B3802</f>
        <v>2294.857</v>
      </c>
    </row>
    <row r="3121" spans="1:5" x14ac:dyDescent="0.25">
      <c r="A3121" s="6" t="s">
        <v>1375</v>
      </c>
      <c r="B3121" s="6" t="s">
        <v>40</v>
      </c>
      <c r="D3121" s="4" t="s">
        <v>60</v>
      </c>
      <c r="E3121" s="5">
        <f>SUM(E3116:E3117)*B3799</f>
        <v>3593.8799999999997</v>
      </c>
    </row>
    <row r="3122" spans="1:5" x14ac:dyDescent="0.25">
      <c r="A3122" s="6" t="s">
        <v>1375</v>
      </c>
      <c r="B3122" s="6" t="s">
        <v>21</v>
      </c>
      <c r="D3122" s="4" t="s">
        <v>22</v>
      </c>
      <c r="E3122" s="5">
        <f>E3118*B3803</f>
        <v>8978.8979999999992</v>
      </c>
    </row>
    <row r="3123" spans="1:5" x14ac:dyDescent="0.25">
      <c r="A3123" s="6" t="s">
        <v>1375</v>
      </c>
      <c r="B3123" s="6" t="s">
        <v>385</v>
      </c>
      <c r="D3123" s="4" t="s">
        <v>1377</v>
      </c>
      <c r="E3123" s="5">
        <v>0</v>
      </c>
    </row>
    <row r="3124" spans="1:5" x14ac:dyDescent="0.25">
      <c r="A3124" s="6" t="s">
        <v>1375</v>
      </c>
      <c r="B3124" s="6" t="s">
        <v>88</v>
      </c>
      <c r="D3124" s="4" t="s">
        <v>523</v>
      </c>
      <c r="E3124" s="5">
        <v>0</v>
      </c>
    </row>
    <row r="3125" spans="1:5" x14ac:dyDescent="0.25">
      <c r="A3125" s="6" t="s">
        <v>1375</v>
      </c>
      <c r="B3125" s="6" t="s">
        <v>66</v>
      </c>
      <c r="D3125" s="4" t="s">
        <v>67</v>
      </c>
    </row>
    <row r="3126" spans="1:5" x14ac:dyDescent="0.25">
      <c r="A3126" s="6" t="s">
        <v>1375</v>
      </c>
      <c r="B3126" s="6" t="s">
        <v>46</v>
      </c>
      <c r="D3126" s="4" t="s">
        <v>47</v>
      </c>
      <c r="E3126" s="5">
        <v>0</v>
      </c>
    </row>
    <row r="3127" spans="1:5" x14ac:dyDescent="0.25">
      <c r="A3127" s="6" t="s">
        <v>1375</v>
      </c>
      <c r="B3127" s="6" t="s">
        <v>72</v>
      </c>
      <c r="D3127" s="4" t="s">
        <v>73</v>
      </c>
      <c r="E3127" s="5">
        <v>0</v>
      </c>
    </row>
    <row r="3129" spans="1:5" x14ac:dyDescent="0.25">
      <c r="A3129" s="6" t="s">
        <v>1378</v>
      </c>
      <c r="B3129" s="6" t="s">
        <v>4</v>
      </c>
      <c r="C3129" s="6" t="s">
        <v>4</v>
      </c>
      <c r="D3129" s="4" t="s">
        <v>4</v>
      </c>
      <c r="E3129" s="5">
        <f>SUM(E3116:E3127)</f>
        <v>175518.77499999999</v>
      </c>
    </row>
    <row r="3131" spans="1:5" x14ac:dyDescent="0.25">
      <c r="A3131" s="6" t="s">
        <v>1379</v>
      </c>
    </row>
    <row r="3132" spans="1:5" x14ac:dyDescent="0.25">
      <c r="A3132" s="6" t="s">
        <v>12</v>
      </c>
    </row>
    <row r="3133" spans="1:5" x14ac:dyDescent="0.25">
      <c r="A3133" s="6" t="s">
        <v>1380</v>
      </c>
      <c r="B3133" s="6" t="s">
        <v>14</v>
      </c>
      <c r="D3133" s="4" t="s">
        <v>15</v>
      </c>
      <c r="E3133" s="5">
        <v>116459</v>
      </c>
    </row>
    <row r="3134" spans="1:5" x14ac:dyDescent="0.25">
      <c r="A3134" s="6" t="s">
        <v>1380</v>
      </c>
      <c r="B3134" s="11" t="s">
        <v>25</v>
      </c>
      <c r="D3134" s="4" t="s">
        <v>58</v>
      </c>
      <c r="E3134" s="5">
        <v>500</v>
      </c>
    </row>
    <row r="3135" spans="1:5" x14ac:dyDescent="0.25">
      <c r="A3135" s="6" t="s">
        <v>1380</v>
      </c>
      <c r="B3135" s="6" t="s">
        <v>36</v>
      </c>
      <c r="D3135" s="4" t="s">
        <v>157</v>
      </c>
      <c r="E3135" s="5">
        <f>1600+1000+4000+400</f>
        <v>7000</v>
      </c>
    </row>
    <row r="3136" spans="1:5" x14ac:dyDescent="0.25">
      <c r="A3136" s="6" t="s">
        <v>1380</v>
      </c>
      <c r="B3136" s="11" t="s">
        <v>104</v>
      </c>
      <c r="D3136" s="4" t="s">
        <v>889</v>
      </c>
      <c r="E3136" s="5">
        <v>500</v>
      </c>
    </row>
    <row r="3137" spans="1:5" x14ac:dyDescent="0.25">
      <c r="A3137" s="6" t="s">
        <v>1380</v>
      </c>
      <c r="B3137" s="6" t="s">
        <v>17</v>
      </c>
      <c r="D3137" s="4" t="s">
        <v>18</v>
      </c>
      <c r="E3137" s="5">
        <f>SUM(E3133:E3136)*B3801</f>
        <v>7716.4579999999996</v>
      </c>
    </row>
    <row r="3138" spans="1:5" x14ac:dyDescent="0.25">
      <c r="A3138" s="6" t="s">
        <v>1380</v>
      </c>
      <c r="B3138" s="6" t="s">
        <v>19</v>
      </c>
      <c r="D3138" s="4" t="s">
        <v>20</v>
      </c>
      <c r="E3138" s="5">
        <f>SUM(E3133:E3136)*B3802</f>
        <v>1804.6555000000001</v>
      </c>
    </row>
    <row r="3139" spans="1:5" x14ac:dyDescent="0.25">
      <c r="A3139" s="6" t="s">
        <v>1380</v>
      </c>
      <c r="B3139" s="6" t="s">
        <v>21</v>
      </c>
      <c r="D3139" s="4" t="s">
        <v>22</v>
      </c>
      <c r="E3139" s="5">
        <f>SUM(E3133:E3136)*B3803</f>
        <v>29048.730599999999</v>
      </c>
    </row>
    <row r="3141" spans="1:5" x14ac:dyDescent="0.25">
      <c r="A3141" s="6" t="s">
        <v>1381</v>
      </c>
      <c r="B3141" s="6" t="s">
        <v>4</v>
      </c>
      <c r="C3141" s="6" t="s">
        <v>4</v>
      </c>
      <c r="D3141" s="4" t="s">
        <v>4</v>
      </c>
      <c r="E3141" s="5">
        <f>SUM(E3133:E3139)</f>
        <v>163028.84410000002</v>
      </c>
    </row>
    <row r="3143" spans="1:5" x14ac:dyDescent="0.25">
      <c r="A3143" s="6" t="s">
        <v>1382</v>
      </c>
    </row>
    <row r="3144" spans="1:5" x14ac:dyDescent="0.25">
      <c r="A3144" s="6" t="s">
        <v>12</v>
      </c>
    </row>
    <row r="3145" spans="1:5" x14ac:dyDescent="0.25">
      <c r="A3145" s="6" t="s">
        <v>1383</v>
      </c>
      <c r="B3145" s="6" t="s">
        <v>1168</v>
      </c>
      <c r="D3145" s="4" t="s">
        <v>1169</v>
      </c>
      <c r="E3145" s="5">
        <v>2750</v>
      </c>
    </row>
    <row r="3147" spans="1:5" x14ac:dyDescent="0.25">
      <c r="A3147" s="6" t="s">
        <v>1384</v>
      </c>
      <c r="B3147" s="6" t="s">
        <v>4</v>
      </c>
      <c r="C3147" s="6" t="s">
        <v>4</v>
      </c>
      <c r="D3147" s="4" t="s">
        <v>4</v>
      </c>
      <c r="E3147" s="5">
        <f>E3145</f>
        <v>2750</v>
      </c>
    </row>
    <row r="3149" spans="1:5" x14ac:dyDescent="0.25">
      <c r="A3149" s="6" t="s">
        <v>1385</v>
      </c>
    </row>
    <row r="3150" spans="1:5" x14ac:dyDescent="0.25">
      <c r="A3150" s="6" t="s">
        <v>12</v>
      </c>
    </row>
    <row r="3151" spans="1:5" x14ac:dyDescent="0.25">
      <c r="A3151" s="6" t="s">
        <v>1386</v>
      </c>
      <c r="B3151" s="6" t="s">
        <v>53</v>
      </c>
      <c r="D3151" s="4" t="s">
        <v>54</v>
      </c>
      <c r="E3151" s="5">
        <v>830101</v>
      </c>
    </row>
    <row r="3152" spans="1:5" x14ac:dyDescent="0.25">
      <c r="A3152" s="6" t="s">
        <v>1386</v>
      </c>
      <c r="B3152" s="11" t="s">
        <v>32</v>
      </c>
      <c r="D3152" s="4" t="s">
        <v>33</v>
      </c>
      <c r="E3152" s="5">
        <f>1000-1000</f>
        <v>0</v>
      </c>
    </row>
    <row r="3153" spans="1:7" x14ac:dyDescent="0.25">
      <c r="A3153" s="6" t="s">
        <v>1386</v>
      </c>
      <c r="B3153" s="11" t="s">
        <v>34</v>
      </c>
      <c r="D3153" s="4" t="s">
        <v>35</v>
      </c>
      <c r="E3153" s="5">
        <v>17875</v>
      </c>
    </row>
    <row r="3154" spans="1:7" x14ac:dyDescent="0.25">
      <c r="A3154" s="6" t="s">
        <v>1386</v>
      </c>
      <c r="B3154" s="11" t="s">
        <v>249</v>
      </c>
      <c r="D3154" s="4" t="s">
        <v>250</v>
      </c>
      <c r="E3154" s="5">
        <v>2000</v>
      </c>
    </row>
    <row r="3155" spans="1:7" x14ac:dyDescent="0.25">
      <c r="A3155" s="6" t="s">
        <v>1386</v>
      </c>
      <c r="B3155" s="11" t="s">
        <v>245</v>
      </c>
      <c r="D3155" s="4" t="s">
        <v>1387</v>
      </c>
      <c r="E3155" s="5">
        <v>2000</v>
      </c>
    </row>
    <row r="3156" spans="1:7" x14ac:dyDescent="0.25">
      <c r="A3156" s="6" t="s">
        <v>1386</v>
      </c>
      <c r="B3156" s="6" t="s">
        <v>14</v>
      </c>
      <c r="D3156" s="4" t="s">
        <v>15</v>
      </c>
      <c r="E3156" s="5">
        <v>101874</v>
      </c>
    </row>
    <row r="3157" spans="1:7" x14ac:dyDescent="0.25">
      <c r="A3157" s="6" t="s">
        <v>1386</v>
      </c>
      <c r="B3157" s="6" t="s">
        <v>17</v>
      </c>
      <c r="D3157" s="4" t="s">
        <v>18</v>
      </c>
      <c r="E3157" s="5">
        <f>E3156*B3801</f>
        <v>6316.1880000000001</v>
      </c>
    </row>
    <row r="3158" spans="1:7" x14ac:dyDescent="0.25">
      <c r="A3158" s="6" t="s">
        <v>1386</v>
      </c>
      <c r="B3158" s="6" t="s">
        <v>19</v>
      </c>
      <c r="D3158" s="4" t="s">
        <v>20</v>
      </c>
      <c r="E3158" s="5">
        <f>SUM(E3151:E3156)*B3802</f>
        <v>13830.825000000001</v>
      </c>
    </row>
    <row r="3159" spans="1:7" x14ac:dyDescent="0.25">
      <c r="A3159" s="6" t="s">
        <v>1386</v>
      </c>
      <c r="B3159" s="11" t="s">
        <v>40</v>
      </c>
      <c r="D3159" s="4" t="s">
        <v>60</v>
      </c>
      <c r="E3159" s="5">
        <f>SUM(B3151:E3155)*B3799</f>
        <v>25559.279999999999</v>
      </c>
    </row>
    <row r="3160" spans="1:7" x14ac:dyDescent="0.25">
      <c r="A3160" s="6" t="s">
        <v>1386</v>
      </c>
      <c r="B3160" s="6" t="s">
        <v>21</v>
      </c>
      <c r="D3160" s="4" t="s">
        <v>22</v>
      </c>
      <c r="E3160" s="5">
        <f>E3156*B3803</f>
        <v>23777.391599999999</v>
      </c>
    </row>
    <row r="3161" spans="1:7" x14ac:dyDescent="0.25">
      <c r="A3161" s="6" t="s">
        <v>1386</v>
      </c>
      <c r="B3161" s="6" t="s">
        <v>46</v>
      </c>
      <c r="D3161" s="4" t="s">
        <v>47</v>
      </c>
      <c r="E3161" s="5">
        <v>63210</v>
      </c>
      <c r="F3161" s="4" t="s">
        <v>789</v>
      </c>
    </row>
    <row r="3162" spans="1:7" x14ac:dyDescent="0.25">
      <c r="A3162" s="6" t="s">
        <v>1386</v>
      </c>
      <c r="B3162" s="6" t="s">
        <v>479</v>
      </c>
      <c r="D3162" s="4" t="s">
        <v>502</v>
      </c>
      <c r="E3162" s="5">
        <v>0</v>
      </c>
    </row>
    <row r="3164" spans="1:7" x14ac:dyDescent="0.25">
      <c r="A3164" s="6" t="s">
        <v>1388</v>
      </c>
      <c r="B3164" s="6" t="s">
        <v>4</v>
      </c>
      <c r="C3164" s="6" t="s">
        <v>4</v>
      </c>
      <c r="D3164" s="4" t="s">
        <v>4</v>
      </c>
      <c r="E3164" s="5">
        <f>SUM(E3151:E3162)</f>
        <v>1086543.6845999998</v>
      </c>
    </row>
    <row r="3166" spans="1:7" x14ac:dyDescent="0.25">
      <c r="A3166" s="11" t="s">
        <v>1389</v>
      </c>
    </row>
    <row r="3167" spans="1:7" x14ac:dyDescent="0.25">
      <c r="A3167" s="6" t="s">
        <v>12</v>
      </c>
    </row>
    <row r="3168" spans="1:7" x14ac:dyDescent="0.25">
      <c r="A3168" s="11" t="s">
        <v>1390</v>
      </c>
      <c r="B3168" s="6" t="s">
        <v>53</v>
      </c>
      <c r="D3168" s="4" t="s">
        <v>54</v>
      </c>
      <c r="E3168" s="5">
        <v>70329</v>
      </c>
      <c r="G3168" s="26"/>
    </row>
    <row r="3169" spans="1:5" x14ac:dyDescent="0.25">
      <c r="A3169" s="11" t="s">
        <v>1390</v>
      </c>
      <c r="B3169" s="6" t="s">
        <v>55</v>
      </c>
      <c r="D3169" s="4" t="s">
        <v>56</v>
      </c>
      <c r="E3169" s="5">
        <v>7223</v>
      </c>
    </row>
    <row r="3170" spans="1:5" x14ac:dyDescent="0.25">
      <c r="A3170" s="11" t="s">
        <v>1390</v>
      </c>
      <c r="B3170" s="11" t="s">
        <v>32</v>
      </c>
      <c r="D3170" s="4" t="s">
        <v>33</v>
      </c>
      <c r="E3170" s="5">
        <v>7154</v>
      </c>
    </row>
    <row r="3171" spans="1:5" x14ac:dyDescent="0.25">
      <c r="A3171" s="11" t="s">
        <v>1390</v>
      </c>
      <c r="B3171" s="11" t="s">
        <v>19</v>
      </c>
      <c r="D3171" s="4" t="s">
        <v>20</v>
      </c>
      <c r="E3171" s="5">
        <f>SUM(E3168:E3170)*B3802</f>
        <v>1228.2370000000001</v>
      </c>
    </row>
    <row r="3172" spans="1:5" x14ac:dyDescent="0.25">
      <c r="A3172" s="11" t="s">
        <v>1390</v>
      </c>
      <c r="B3172" s="11" t="s">
        <v>40</v>
      </c>
      <c r="D3172" s="4" t="s">
        <v>41</v>
      </c>
      <c r="E3172" s="5">
        <f>SUM(E3168:E3170)*B3799</f>
        <v>2541.1799999999998</v>
      </c>
    </row>
    <row r="3174" spans="1:5" x14ac:dyDescent="0.25">
      <c r="A3174" s="6" t="s">
        <v>1391</v>
      </c>
      <c r="E3174" s="5">
        <f>SUM(E3168:E3172)</f>
        <v>88475.416999999987</v>
      </c>
    </row>
    <row r="3176" spans="1:5" x14ac:dyDescent="0.25">
      <c r="A3176" s="6" t="s">
        <v>1392</v>
      </c>
    </row>
    <row r="3177" spans="1:5" x14ac:dyDescent="0.25">
      <c r="A3177" s="6" t="s">
        <v>12</v>
      </c>
    </row>
    <row r="3178" spans="1:5" x14ac:dyDescent="0.25">
      <c r="A3178" s="6" t="s">
        <v>1393</v>
      </c>
      <c r="B3178" s="6" t="s">
        <v>53</v>
      </c>
      <c r="D3178" s="4" t="s">
        <v>54</v>
      </c>
      <c r="E3178" s="5">
        <v>205437</v>
      </c>
    </row>
    <row r="3179" spans="1:5" x14ac:dyDescent="0.25">
      <c r="A3179" s="6" t="s">
        <v>1393</v>
      </c>
      <c r="B3179" s="6" t="s">
        <v>14</v>
      </c>
      <c r="D3179" s="4" t="s">
        <v>15</v>
      </c>
      <c r="E3179" s="5">
        <v>71555</v>
      </c>
    </row>
    <row r="3180" spans="1:5" x14ac:dyDescent="0.25">
      <c r="A3180" s="6" t="s">
        <v>1393</v>
      </c>
      <c r="B3180" s="6" t="s">
        <v>25</v>
      </c>
      <c r="D3180" s="4" t="s">
        <v>58</v>
      </c>
      <c r="E3180" s="5">
        <f>2034</f>
        <v>2034</v>
      </c>
    </row>
    <row r="3181" spans="1:5" x14ac:dyDescent="0.25">
      <c r="A3181" s="6" t="s">
        <v>1393</v>
      </c>
      <c r="B3181" s="6" t="s">
        <v>17</v>
      </c>
      <c r="D3181" s="4" t="s">
        <v>18</v>
      </c>
      <c r="E3181" s="5">
        <f>SUM(E3179:E3180)*B3801</f>
        <v>4562.518</v>
      </c>
    </row>
    <row r="3182" spans="1:5" x14ac:dyDescent="0.25">
      <c r="A3182" s="6" t="s">
        <v>1393</v>
      </c>
      <c r="B3182" s="6" t="s">
        <v>19</v>
      </c>
      <c r="D3182" s="4" t="s">
        <v>20</v>
      </c>
      <c r="E3182" s="5">
        <f>SUM(E3178:E3180)*B3802</f>
        <v>4045.8770000000004</v>
      </c>
    </row>
    <row r="3183" spans="1:5" x14ac:dyDescent="0.25">
      <c r="A3183" s="6" t="s">
        <v>1393</v>
      </c>
      <c r="B3183" s="11" t="s">
        <v>40</v>
      </c>
      <c r="D3183" s="4" t="s">
        <v>41</v>
      </c>
      <c r="E3183" s="5">
        <f>E3178*B3799</f>
        <v>6163.11</v>
      </c>
    </row>
    <row r="3184" spans="1:5" x14ac:dyDescent="0.25">
      <c r="A3184" s="6" t="s">
        <v>1393</v>
      </c>
      <c r="B3184" s="6" t="s">
        <v>21</v>
      </c>
      <c r="D3184" s="4" t="s">
        <v>22</v>
      </c>
      <c r="E3184" s="5">
        <f>SUM(E3179:E3180)*B3803</f>
        <v>17175.672599999998</v>
      </c>
    </row>
    <row r="3185" spans="1:6" x14ac:dyDescent="0.25">
      <c r="A3185" s="6" t="s">
        <v>1393</v>
      </c>
      <c r="B3185" s="6" t="s">
        <v>46</v>
      </c>
      <c r="D3185" s="4" t="s">
        <v>47</v>
      </c>
      <c r="E3185" s="5">
        <v>0</v>
      </c>
    </row>
    <row r="3187" spans="1:6" x14ac:dyDescent="0.25">
      <c r="A3187" s="6" t="s">
        <v>1394</v>
      </c>
      <c r="B3187" s="6" t="s">
        <v>4</v>
      </c>
      <c r="C3187" s="6" t="s">
        <v>4</v>
      </c>
      <c r="D3187" s="4" t="s">
        <v>4</v>
      </c>
      <c r="E3187" s="5">
        <f>SUM(E3178:E3185)</f>
        <v>310973.17759999994</v>
      </c>
    </row>
    <row r="3188" spans="1:6" hidden="1" x14ac:dyDescent="0.25"/>
    <row r="3189" spans="1:6" hidden="1" x14ac:dyDescent="0.25">
      <c r="A3189" s="6" t="s">
        <v>1395</v>
      </c>
    </row>
    <row r="3190" spans="1:6" hidden="1" x14ac:dyDescent="0.25">
      <c r="A3190" s="6" t="s">
        <v>12</v>
      </c>
    </row>
    <row r="3191" spans="1:6" hidden="1" x14ac:dyDescent="0.25">
      <c r="A3191" s="6" t="s">
        <v>1396</v>
      </c>
      <c r="B3191" s="6" t="s">
        <v>61</v>
      </c>
      <c r="D3191" s="4" t="s">
        <v>188</v>
      </c>
      <c r="E3191" s="5">
        <v>0</v>
      </c>
    </row>
    <row r="3192" spans="1:6" hidden="1" x14ac:dyDescent="0.25"/>
    <row r="3193" spans="1:6" hidden="1" x14ac:dyDescent="0.25">
      <c r="A3193" s="6" t="s">
        <v>1397</v>
      </c>
      <c r="B3193" s="6" t="s">
        <v>4</v>
      </c>
      <c r="C3193" s="6" t="s">
        <v>4</v>
      </c>
      <c r="D3193" s="4" t="s">
        <v>4</v>
      </c>
      <c r="E3193" s="5">
        <f>E3191</f>
        <v>0</v>
      </c>
    </row>
    <row r="3194" spans="1:6" x14ac:dyDescent="0.25">
      <c r="A3194" s="6"/>
      <c r="B3194" s="6"/>
      <c r="C3194" s="6"/>
    </row>
    <row r="3195" spans="1:6" x14ac:dyDescent="0.25">
      <c r="A3195" s="6" t="s">
        <v>1398</v>
      </c>
    </row>
    <row r="3196" spans="1:6" x14ac:dyDescent="0.25">
      <c r="A3196" s="6" t="s">
        <v>12</v>
      </c>
    </row>
    <row r="3197" spans="1:6" x14ac:dyDescent="0.25">
      <c r="A3197" s="6" t="s">
        <v>1399</v>
      </c>
      <c r="B3197" s="6" t="s">
        <v>53</v>
      </c>
      <c r="D3197" s="4" t="s">
        <v>54</v>
      </c>
      <c r="E3197" s="5">
        <v>0</v>
      </c>
    </row>
    <row r="3198" spans="1:6" x14ac:dyDescent="0.25">
      <c r="A3198" s="6" t="s">
        <v>1399</v>
      </c>
      <c r="B3198" s="6" t="s">
        <v>14</v>
      </c>
      <c r="D3198" s="4" t="s">
        <v>15</v>
      </c>
      <c r="E3198" s="5">
        <v>40404</v>
      </c>
      <c r="F3198" s="4" t="s">
        <v>1151</v>
      </c>
    </row>
    <row r="3199" spans="1:6" x14ac:dyDescent="0.25">
      <c r="A3199" s="6" t="s">
        <v>1399</v>
      </c>
      <c r="B3199" s="6" t="s">
        <v>25</v>
      </c>
      <c r="D3199" s="4" t="s">
        <v>58</v>
      </c>
      <c r="E3199" s="5">
        <v>0</v>
      </c>
    </row>
    <row r="3200" spans="1:6" x14ac:dyDescent="0.25">
      <c r="A3200" s="6" t="s">
        <v>1399</v>
      </c>
      <c r="B3200" s="6" t="s">
        <v>17</v>
      </c>
      <c r="D3200" s="4" t="s">
        <v>18</v>
      </c>
      <c r="E3200" s="5">
        <f>SUM(E3199)*B3801</f>
        <v>0</v>
      </c>
    </row>
    <row r="3201" spans="1:6" x14ac:dyDescent="0.25">
      <c r="A3201" s="6" t="s">
        <v>1399</v>
      </c>
      <c r="B3201" s="6" t="s">
        <v>19</v>
      </c>
      <c r="D3201" s="4" t="s">
        <v>20</v>
      </c>
      <c r="E3201" s="5">
        <f>SUM(E3197:E3199)*B3802</f>
        <v>585.85800000000006</v>
      </c>
    </row>
    <row r="3202" spans="1:6" x14ac:dyDescent="0.25">
      <c r="A3202" s="6" t="s">
        <v>1399</v>
      </c>
      <c r="B3202" s="11" t="s">
        <v>40</v>
      </c>
      <c r="D3202" s="4" t="s">
        <v>41</v>
      </c>
      <c r="E3202" s="5">
        <f>(E3197+E3198)*B3799</f>
        <v>1212.1199999999999</v>
      </c>
    </row>
    <row r="3203" spans="1:6" x14ac:dyDescent="0.25">
      <c r="A3203" s="6" t="s">
        <v>1399</v>
      </c>
      <c r="B3203" s="6" t="s">
        <v>21</v>
      </c>
      <c r="D3203" s="4" t="s">
        <v>22</v>
      </c>
      <c r="E3203" s="5">
        <f>SUM(E3199)*B3803</f>
        <v>0</v>
      </c>
    </row>
    <row r="3204" spans="1:6" x14ac:dyDescent="0.25">
      <c r="A3204" s="6" t="s">
        <v>1399</v>
      </c>
      <c r="B3204" s="6" t="s">
        <v>46</v>
      </c>
      <c r="D3204" s="4" t="s">
        <v>47</v>
      </c>
      <c r="E3204" s="5">
        <v>0</v>
      </c>
    </row>
    <row r="3206" spans="1:6" x14ac:dyDescent="0.25">
      <c r="A3206" s="6" t="s">
        <v>1400</v>
      </c>
      <c r="B3206" s="6" t="s">
        <v>4</v>
      </c>
      <c r="C3206" s="6" t="s">
        <v>4</v>
      </c>
      <c r="D3206" s="4" t="s">
        <v>4</v>
      </c>
      <c r="E3206" s="5">
        <f>SUM(E3197:E3204)</f>
        <v>42201.978000000003</v>
      </c>
    </row>
    <row r="3207" spans="1:6" x14ac:dyDescent="0.25">
      <c r="A3207" s="6"/>
      <c r="B3207" s="6"/>
      <c r="C3207" s="6"/>
    </row>
    <row r="3208" spans="1:6" x14ac:dyDescent="0.25">
      <c r="A3208" s="6" t="s">
        <v>1401</v>
      </c>
    </row>
    <row r="3209" spans="1:6" x14ac:dyDescent="0.25">
      <c r="A3209" s="6" t="s">
        <v>12</v>
      </c>
    </row>
    <row r="3210" spans="1:6" x14ac:dyDescent="0.25">
      <c r="A3210" s="6" t="s">
        <v>1402</v>
      </c>
      <c r="B3210" s="12" t="s">
        <v>53</v>
      </c>
      <c r="D3210" s="4" t="s">
        <v>54</v>
      </c>
      <c r="E3210" s="5">
        <v>63402</v>
      </c>
    </row>
    <row r="3211" spans="1:6" x14ac:dyDescent="0.25">
      <c r="A3211" s="6" t="s">
        <v>1402</v>
      </c>
      <c r="B3211" s="6" t="s">
        <v>55</v>
      </c>
      <c r="D3211" s="4" t="s">
        <v>56</v>
      </c>
      <c r="E3211" s="5">
        <v>2742</v>
      </c>
    </row>
    <row r="3212" spans="1:6" x14ac:dyDescent="0.25">
      <c r="A3212" s="6" t="s">
        <v>1402</v>
      </c>
      <c r="B3212" s="6" t="s">
        <v>32</v>
      </c>
      <c r="D3212" s="4" t="s">
        <v>33</v>
      </c>
      <c r="E3212" s="5">
        <f>5200+1000+4300</f>
        <v>10500</v>
      </c>
    </row>
    <row r="3213" spans="1:6" x14ac:dyDescent="0.25">
      <c r="A3213" s="6" t="s">
        <v>1402</v>
      </c>
      <c r="B3213" s="11" t="s">
        <v>34</v>
      </c>
      <c r="D3213" s="4" t="s">
        <v>35</v>
      </c>
      <c r="E3213" s="5">
        <f>3000+500+1100+14029+7000+9588</f>
        <v>35217</v>
      </c>
      <c r="F3213" s="4" t="s">
        <v>1403</v>
      </c>
    </row>
    <row r="3214" spans="1:6" x14ac:dyDescent="0.25">
      <c r="A3214" s="6" t="s">
        <v>1402</v>
      </c>
      <c r="B3214" s="6" t="s">
        <v>254</v>
      </c>
      <c r="D3214" s="4" t="s">
        <v>255</v>
      </c>
      <c r="E3214" s="5">
        <f>55000-10000</f>
        <v>45000</v>
      </c>
    </row>
    <row r="3215" spans="1:6" x14ac:dyDescent="0.25">
      <c r="A3215" s="6" t="s">
        <v>1402</v>
      </c>
      <c r="B3215" s="6" t="s">
        <v>1160</v>
      </c>
      <c r="D3215" s="4" t="s">
        <v>255</v>
      </c>
      <c r="E3215" s="5">
        <v>0</v>
      </c>
    </row>
    <row r="3216" spans="1:6" x14ac:dyDescent="0.25">
      <c r="A3216" s="6" t="s">
        <v>1402</v>
      </c>
      <c r="B3216" s="11" t="s">
        <v>14</v>
      </c>
      <c r="D3216" s="4" t="s">
        <v>15</v>
      </c>
      <c r="E3216" s="5">
        <v>0</v>
      </c>
    </row>
    <row r="3217" spans="1:6" x14ac:dyDescent="0.25">
      <c r="A3217" s="6" t="s">
        <v>1402</v>
      </c>
      <c r="B3217" s="6" t="s">
        <v>25</v>
      </c>
      <c r="D3217" s="4" t="s">
        <v>58</v>
      </c>
      <c r="E3217" s="5">
        <f>4650+8500+1500-3060</f>
        <v>11590</v>
      </c>
    </row>
    <row r="3218" spans="1:6" x14ac:dyDescent="0.25">
      <c r="A3218" s="6" t="s">
        <v>1402</v>
      </c>
      <c r="B3218" s="11" t="s">
        <v>648</v>
      </c>
      <c r="D3218" s="4" t="s">
        <v>58</v>
      </c>
      <c r="E3218" s="5">
        <f>6*15*34</f>
        <v>3060</v>
      </c>
      <c r="F3218" s="4" t="s">
        <v>1185</v>
      </c>
    </row>
    <row r="3219" spans="1:6" x14ac:dyDescent="0.25">
      <c r="A3219" s="6" t="s">
        <v>1402</v>
      </c>
      <c r="B3219" s="11" t="s">
        <v>38</v>
      </c>
      <c r="D3219" s="4" t="s">
        <v>1337</v>
      </c>
      <c r="E3219" s="5">
        <v>950</v>
      </c>
    </row>
    <row r="3220" spans="1:6" x14ac:dyDescent="0.25">
      <c r="A3220" s="6" t="s">
        <v>1402</v>
      </c>
      <c r="B3220" s="6" t="s">
        <v>17</v>
      </c>
      <c r="D3220" s="4" t="s">
        <v>18</v>
      </c>
      <c r="E3220" s="5">
        <f>SUM(E3216:E3219)*B3801</f>
        <v>967.2</v>
      </c>
    </row>
    <row r="3221" spans="1:6" x14ac:dyDescent="0.25">
      <c r="A3221" s="6" t="s">
        <v>1402</v>
      </c>
      <c r="B3221" s="6" t="s">
        <v>19</v>
      </c>
      <c r="D3221" s="4" t="s">
        <v>20</v>
      </c>
      <c r="E3221" s="5">
        <f>SUM(E3210:E3219)*B3802</f>
        <v>2500.6845000000003</v>
      </c>
    </row>
    <row r="3222" spans="1:6" x14ac:dyDescent="0.25">
      <c r="A3222" s="6" t="s">
        <v>1402</v>
      </c>
      <c r="B3222" s="11" t="s">
        <v>40</v>
      </c>
      <c r="D3222" s="4" t="s">
        <v>41</v>
      </c>
      <c r="E3222" s="5">
        <f>SUM(E3210:E3215)*B3799-0.61-0.09-14.66</f>
        <v>4690.47</v>
      </c>
    </row>
    <row r="3223" spans="1:6" x14ac:dyDescent="0.25">
      <c r="A3223" s="6" t="s">
        <v>1402</v>
      </c>
      <c r="B3223" s="6" t="s">
        <v>21</v>
      </c>
      <c r="D3223" s="4" t="s">
        <v>22</v>
      </c>
      <c r="E3223" s="5">
        <f>SUM(E3216:E3219)*B3803</f>
        <v>3641.04</v>
      </c>
    </row>
    <row r="3224" spans="1:6" x14ac:dyDescent="0.25">
      <c r="A3224" s="6" t="s">
        <v>1402</v>
      </c>
      <c r="B3224" s="11" t="s">
        <v>385</v>
      </c>
      <c r="D3224" s="4" t="s">
        <v>560</v>
      </c>
      <c r="E3224" s="5">
        <v>0</v>
      </c>
    </row>
    <row r="3225" spans="1:6" x14ac:dyDescent="0.25">
      <c r="A3225" s="6" t="s">
        <v>1402</v>
      </c>
      <c r="B3225" s="6" t="s">
        <v>46</v>
      </c>
      <c r="D3225" s="4" t="s">
        <v>47</v>
      </c>
      <c r="E3225" s="5">
        <v>0</v>
      </c>
    </row>
    <row r="3226" spans="1:6" x14ac:dyDescent="0.25">
      <c r="A3226" s="6" t="s">
        <v>1402</v>
      </c>
      <c r="B3226" s="11" t="s">
        <v>192</v>
      </c>
      <c r="D3226" s="4" t="s">
        <v>193</v>
      </c>
      <c r="E3226" s="5">
        <v>0</v>
      </c>
    </row>
    <row r="3227" spans="1:6" x14ac:dyDescent="0.25">
      <c r="A3227" s="6" t="s">
        <v>1402</v>
      </c>
      <c r="B3227" s="11" t="s">
        <v>27</v>
      </c>
      <c r="D3227" s="4" t="s">
        <v>28</v>
      </c>
      <c r="E3227" s="5">
        <v>0</v>
      </c>
    </row>
    <row r="3229" spans="1:6" x14ac:dyDescent="0.25">
      <c r="A3229" s="6" t="s">
        <v>1404</v>
      </c>
      <c r="B3229" s="6" t="s">
        <v>4</v>
      </c>
      <c r="C3229" s="6" t="s">
        <v>4</v>
      </c>
      <c r="D3229" s="4" t="s">
        <v>4</v>
      </c>
      <c r="E3229" s="5">
        <f>SUM(E3210:E3227)</f>
        <v>184260.39450000002</v>
      </c>
    </row>
    <row r="3231" spans="1:6" x14ac:dyDescent="0.25">
      <c r="A3231" s="6" t="s">
        <v>1405</v>
      </c>
    </row>
    <row r="3232" spans="1:6" x14ac:dyDescent="0.25">
      <c r="A3232" s="6" t="s">
        <v>12</v>
      </c>
    </row>
    <row r="3233" spans="1:5" x14ac:dyDescent="0.25">
      <c r="A3233" s="6"/>
    </row>
    <row r="3234" spans="1:5" x14ac:dyDescent="0.25">
      <c r="A3234" s="6" t="s">
        <v>1406</v>
      </c>
      <c r="B3234" s="6" t="s">
        <v>32</v>
      </c>
      <c r="D3234" s="4" t="s">
        <v>33</v>
      </c>
      <c r="E3234" s="5">
        <v>0</v>
      </c>
    </row>
    <row r="3235" spans="1:5" x14ac:dyDescent="0.25">
      <c r="A3235" s="6" t="s">
        <v>1406</v>
      </c>
      <c r="B3235" s="6" t="s">
        <v>19</v>
      </c>
      <c r="D3235" s="4" t="s">
        <v>20</v>
      </c>
      <c r="E3235" s="5">
        <f>E3234*B3802</f>
        <v>0</v>
      </c>
    </row>
    <row r="3236" spans="1:5" x14ac:dyDescent="0.25">
      <c r="A3236" s="6" t="s">
        <v>1406</v>
      </c>
      <c r="B3236" s="11" t="s">
        <v>40</v>
      </c>
      <c r="D3236" s="4" t="s">
        <v>41</v>
      </c>
      <c r="E3236" s="5">
        <f>E3234*B3799</f>
        <v>0</v>
      </c>
    </row>
    <row r="3237" spans="1:5" x14ac:dyDescent="0.25">
      <c r="A3237" s="6" t="s">
        <v>1406</v>
      </c>
      <c r="B3237" s="6" t="s">
        <v>46</v>
      </c>
      <c r="D3237" s="4" t="s">
        <v>47</v>
      </c>
      <c r="E3237" s="5">
        <f>1000-500</f>
        <v>500</v>
      </c>
    </row>
    <row r="3239" spans="1:5" x14ac:dyDescent="0.25">
      <c r="A3239" s="6" t="s">
        <v>1407</v>
      </c>
      <c r="B3239" s="6" t="s">
        <v>4</v>
      </c>
      <c r="C3239" s="6" t="s">
        <v>4</v>
      </c>
      <c r="D3239" s="4" t="s">
        <v>4</v>
      </c>
      <c r="E3239" s="5">
        <f>SUM(E3234:E3237)</f>
        <v>500</v>
      </c>
    </row>
    <row r="3240" spans="1:5" x14ac:dyDescent="0.25">
      <c r="A3240" s="6"/>
      <c r="B3240" s="6"/>
      <c r="C3240" s="6"/>
    </row>
    <row r="3241" spans="1:5" x14ac:dyDescent="0.25">
      <c r="A3241" s="6" t="s">
        <v>1408</v>
      </c>
    </row>
    <row r="3242" spans="1:5" x14ac:dyDescent="0.25">
      <c r="A3242" s="6" t="s">
        <v>12</v>
      </c>
    </row>
    <row r="3243" spans="1:5" x14ac:dyDescent="0.25">
      <c r="A3243" s="6" t="s">
        <v>1409</v>
      </c>
      <c r="B3243" s="6" t="s">
        <v>32</v>
      </c>
      <c r="D3243" s="4" t="s">
        <v>33</v>
      </c>
      <c r="E3243" s="5">
        <v>2250</v>
      </c>
    </row>
    <row r="3244" spans="1:5" x14ac:dyDescent="0.25">
      <c r="A3244" s="6" t="s">
        <v>1409</v>
      </c>
      <c r="B3244" s="6" t="s">
        <v>25</v>
      </c>
      <c r="D3244" s="4" t="s">
        <v>58</v>
      </c>
      <c r="E3244" s="5">
        <v>2625</v>
      </c>
    </row>
    <row r="3245" spans="1:5" x14ac:dyDescent="0.25">
      <c r="A3245" s="6" t="s">
        <v>1409</v>
      </c>
      <c r="B3245" s="11" t="s">
        <v>38</v>
      </c>
      <c r="D3245" s="4" t="s">
        <v>1337</v>
      </c>
      <c r="E3245" s="5">
        <f>1100+550</f>
        <v>1650</v>
      </c>
    </row>
    <row r="3246" spans="1:5" x14ac:dyDescent="0.25">
      <c r="A3246" s="6" t="s">
        <v>1409</v>
      </c>
      <c r="B3246" s="6" t="s">
        <v>17</v>
      </c>
      <c r="D3246" s="4" t="s">
        <v>18</v>
      </c>
      <c r="E3246" s="5">
        <f>(E3244+E3245)*B3801</f>
        <v>265.05</v>
      </c>
    </row>
    <row r="3247" spans="1:5" x14ac:dyDescent="0.25">
      <c r="A3247" s="6" t="s">
        <v>1409</v>
      </c>
      <c r="B3247" s="6" t="s">
        <v>19</v>
      </c>
      <c r="D3247" s="4" t="s">
        <v>20</v>
      </c>
      <c r="E3247" s="5">
        <f>SUM(E3243:E3245)*B3802</f>
        <v>94.612500000000011</v>
      </c>
    </row>
    <row r="3248" spans="1:5" x14ac:dyDescent="0.25">
      <c r="A3248" s="6" t="s">
        <v>1409</v>
      </c>
      <c r="B3248" s="11" t="s">
        <v>40</v>
      </c>
      <c r="D3248" s="4" t="s">
        <v>41</v>
      </c>
      <c r="E3248" s="5">
        <f>E3243*B3799</f>
        <v>67.5</v>
      </c>
    </row>
    <row r="3249" spans="1:5" x14ac:dyDescent="0.25">
      <c r="A3249" s="6" t="s">
        <v>1409</v>
      </c>
      <c r="B3249" s="11" t="s">
        <v>21</v>
      </c>
      <c r="D3249" s="4" t="s">
        <v>22</v>
      </c>
      <c r="E3249" s="5">
        <f>(E3244+E3245)*B3803</f>
        <v>997.78499999999997</v>
      </c>
    </row>
    <row r="3251" spans="1:5" x14ac:dyDescent="0.25">
      <c r="A3251" s="6" t="s">
        <v>1410</v>
      </c>
      <c r="B3251" s="6" t="s">
        <v>4</v>
      </c>
      <c r="C3251" s="6" t="s">
        <v>4</v>
      </c>
      <c r="D3251" s="4" t="s">
        <v>4</v>
      </c>
      <c r="E3251" s="5">
        <f>SUM(E3243:E3249)</f>
        <v>7949.9475000000002</v>
      </c>
    </row>
    <row r="3253" spans="1:5" x14ac:dyDescent="0.25">
      <c r="A3253" s="6" t="s">
        <v>1411</v>
      </c>
    </row>
    <row r="3254" spans="1:5" x14ac:dyDescent="0.25">
      <c r="A3254" s="6" t="s">
        <v>12</v>
      </c>
    </row>
    <row r="3255" spans="1:5" x14ac:dyDescent="0.25">
      <c r="A3255" s="6" t="s">
        <v>1412</v>
      </c>
      <c r="B3255" s="6" t="s">
        <v>55</v>
      </c>
      <c r="D3255" s="4" t="s">
        <v>56</v>
      </c>
      <c r="E3255" s="5">
        <v>4845</v>
      </c>
    </row>
    <row r="3256" spans="1:5" x14ac:dyDescent="0.25">
      <c r="A3256" s="6" t="s">
        <v>1412</v>
      </c>
      <c r="B3256" s="11" t="s">
        <v>32</v>
      </c>
      <c r="D3256" s="4" t="s">
        <v>33</v>
      </c>
      <c r="E3256" s="5">
        <v>3367</v>
      </c>
    </row>
    <row r="3257" spans="1:5" x14ac:dyDescent="0.25">
      <c r="A3257" s="6" t="s">
        <v>1412</v>
      </c>
      <c r="B3257" s="6" t="s">
        <v>19</v>
      </c>
      <c r="D3257" s="4" t="s">
        <v>20</v>
      </c>
      <c r="E3257" s="5">
        <f>SUM(E3255:E3256)*B3798</f>
        <v>119.07400000000001</v>
      </c>
    </row>
    <row r="3258" spans="1:5" x14ac:dyDescent="0.25">
      <c r="A3258" s="6" t="s">
        <v>1412</v>
      </c>
      <c r="B3258" s="11" t="s">
        <v>40</v>
      </c>
      <c r="D3258" s="4" t="s">
        <v>41</v>
      </c>
      <c r="E3258" s="5">
        <f>SUM(E3255:E3256)*B3799</f>
        <v>246.35999999999999</v>
      </c>
    </row>
    <row r="3260" spans="1:5" x14ac:dyDescent="0.25">
      <c r="A3260" s="6" t="s">
        <v>1413</v>
      </c>
      <c r="B3260" s="6" t="s">
        <v>4</v>
      </c>
      <c r="C3260" s="6" t="s">
        <v>4</v>
      </c>
      <c r="D3260" s="4" t="s">
        <v>4</v>
      </c>
      <c r="E3260" s="5">
        <f>SUM(E3255:E3258)</f>
        <v>8577.4340000000011</v>
      </c>
    </row>
    <row r="3262" spans="1:5" x14ac:dyDescent="0.25">
      <c r="A3262" s="6" t="s">
        <v>1414</v>
      </c>
    </row>
    <row r="3263" spans="1:5" x14ac:dyDescent="0.25">
      <c r="A3263" s="6" t="s">
        <v>12</v>
      </c>
    </row>
    <row r="3264" spans="1:5" x14ac:dyDescent="0.25">
      <c r="A3264" s="6" t="s">
        <v>1415</v>
      </c>
      <c r="B3264" s="11" t="s">
        <v>55</v>
      </c>
      <c r="D3264" s="4" t="s">
        <v>56</v>
      </c>
      <c r="E3264" s="5">
        <v>23476</v>
      </c>
    </row>
    <row r="3265" spans="1:5" x14ac:dyDescent="0.25">
      <c r="A3265" s="6" t="s">
        <v>1415</v>
      </c>
      <c r="B3265" s="6" t="s">
        <v>32</v>
      </c>
      <c r="D3265" s="4" t="s">
        <v>33</v>
      </c>
      <c r="E3265" s="5">
        <v>42201</v>
      </c>
    </row>
    <row r="3266" spans="1:5" x14ac:dyDescent="0.25">
      <c r="A3266" s="6" t="s">
        <v>1415</v>
      </c>
      <c r="B3266" s="11" t="s">
        <v>14</v>
      </c>
      <c r="D3266" s="4" t="s">
        <v>15</v>
      </c>
      <c r="E3266" s="5">
        <v>8359</v>
      </c>
    </row>
    <row r="3267" spans="1:5" x14ac:dyDescent="0.25">
      <c r="A3267" s="6" t="s">
        <v>1415</v>
      </c>
      <c r="B3267" s="11" t="s">
        <v>17</v>
      </c>
      <c r="D3267" s="4" t="s">
        <v>18</v>
      </c>
      <c r="E3267" s="5">
        <f>E3266*B3801</f>
        <v>518.25800000000004</v>
      </c>
    </row>
    <row r="3268" spans="1:5" x14ac:dyDescent="0.25">
      <c r="A3268" s="6" t="s">
        <v>1415</v>
      </c>
      <c r="B3268" s="6" t="s">
        <v>19</v>
      </c>
      <c r="D3268" s="4" t="s">
        <v>20</v>
      </c>
      <c r="E3268" s="5">
        <f>SUM(E3264:E3266)*B3798</f>
        <v>1073.5220000000002</v>
      </c>
    </row>
    <row r="3269" spans="1:5" x14ac:dyDescent="0.25">
      <c r="A3269" s="6" t="s">
        <v>1415</v>
      </c>
      <c r="B3269" s="6" t="s">
        <v>40</v>
      </c>
      <c r="D3269" s="4" t="s">
        <v>60</v>
      </c>
      <c r="E3269" s="5">
        <f>SUM(E3264:E3265)*B3799</f>
        <v>1970.31</v>
      </c>
    </row>
    <row r="3270" spans="1:5" x14ac:dyDescent="0.25">
      <c r="A3270" s="6" t="s">
        <v>1415</v>
      </c>
      <c r="B3270" s="11" t="s">
        <v>21</v>
      </c>
      <c r="D3270" s="4" t="s">
        <v>22</v>
      </c>
      <c r="E3270" s="5">
        <f>E3266*B3803</f>
        <v>1950.9905999999999</v>
      </c>
    </row>
    <row r="3272" spans="1:5" x14ac:dyDescent="0.25">
      <c r="A3272" s="6" t="s">
        <v>1416</v>
      </c>
      <c r="B3272" s="6" t="s">
        <v>4</v>
      </c>
      <c r="C3272" s="6" t="s">
        <v>4</v>
      </c>
      <c r="D3272" s="4" t="s">
        <v>4</v>
      </c>
      <c r="E3272" s="5">
        <f>SUM(E3264:E3270)</f>
        <v>79549.080600000001</v>
      </c>
    </row>
    <row r="3274" spans="1:5" x14ac:dyDescent="0.25">
      <c r="A3274" s="6" t="s">
        <v>1417</v>
      </c>
    </row>
    <row r="3275" spans="1:5" x14ac:dyDescent="0.25">
      <c r="A3275" s="6" t="s">
        <v>12</v>
      </c>
    </row>
    <row r="3276" spans="1:5" x14ac:dyDescent="0.25">
      <c r="A3276" s="6" t="s">
        <v>1418</v>
      </c>
      <c r="B3276" s="12" t="s">
        <v>159</v>
      </c>
      <c r="D3276" s="4" t="s">
        <v>371</v>
      </c>
      <c r="E3276" s="5">
        <v>0</v>
      </c>
    </row>
    <row r="3277" spans="1:5" x14ac:dyDescent="0.25">
      <c r="A3277" s="6" t="s">
        <v>1418</v>
      </c>
      <c r="B3277" s="12" t="s">
        <v>44</v>
      </c>
      <c r="D3277" s="4" t="s">
        <v>45</v>
      </c>
      <c r="E3277" s="5">
        <v>5000</v>
      </c>
    </row>
    <row r="3278" spans="1:5" x14ac:dyDescent="0.25">
      <c r="A3278" s="6" t="s">
        <v>1418</v>
      </c>
      <c r="B3278" s="6" t="s">
        <v>161</v>
      </c>
      <c r="D3278" s="4" t="s">
        <v>162</v>
      </c>
      <c r="E3278" s="5">
        <f>11000-900</f>
        <v>10100</v>
      </c>
    </row>
    <row r="3279" spans="1:5" x14ac:dyDescent="0.25">
      <c r="A3279" s="6" t="s">
        <v>1418</v>
      </c>
      <c r="B3279" s="6" t="s">
        <v>167</v>
      </c>
      <c r="D3279" s="4" t="s">
        <v>537</v>
      </c>
      <c r="E3279" s="5">
        <f>2500-1000</f>
        <v>1500</v>
      </c>
    </row>
    <row r="3280" spans="1:5" x14ac:dyDescent="0.25">
      <c r="A3280" s="6" t="s">
        <v>1418</v>
      </c>
      <c r="B3280" s="11" t="s">
        <v>169</v>
      </c>
      <c r="D3280" s="4" t="s">
        <v>170</v>
      </c>
      <c r="E3280" s="5">
        <v>1000</v>
      </c>
    </row>
    <row r="3281" spans="1:5" x14ac:dyDescent="0.25">
      <c r="A3281" s="6" t="s">
        <v>1418</v>
      </c>
      <c r="B3281" s="6" t="s">
        <v>171</v>
      </c>
      <c r="D3281" s="4" t="s">
        <v>516</v>
      </c>
      <c r="E3281" s="5">
        <v>10000</v>
      </c>
    </row>
    <row r="3282" spans="1:5" x14ac:dyDescent="0.25">
      <c r="A3282" s="6" t="s">
        <v>1418</v>
      </c>
      <c r="B3282" s="11" t="s">
        <v>173</v>
      </c>
      <c r="D3282" s="4" t="s">
        <v>419</v>
      </c>
      <c r="E3282" s="5">
        <v>5000</v>
      </c>
    </row>
    <row r="3283" spans="1:5" x14ac:dyDescent="0.25">
      <c r="A3283" s="6" t="s">
        <v>1418</v>
      </c>
      <c r="B3283" s="11" t="s">
        <v>542</v>
      </c>
      <c r="D3283" s="4" t="s">
        <v>172</v>
      </c>
      <c r="E3283" s="5">
        <v>250</v>
      </c>
    </row>
    <row r="3284" spans="1:5" x14ac:dyDescent="0.25">
      <c r="A3284" s="6" t="s">
        <v>1418</v>
      </c>
      <c r="B3284" s="11" t="s">
        <v>175</v>
      </c>
      <c r="D3284" s="4" t="s">
        <v>1347</v>
      </c>
      <c r="E3284" s="5">
        <v>1000</v>
      </c>
    </row>
    <row r="3285" spans="1:5" x14ac:dyDescent="0.25">
      <c r="A3285" s="6" t="s">
        <v>1418</v>
      </c>
      <c r="B3285" s="6" t="s">
        <v>46</v>
      </c>
      <c r="D3285" s="4" t="s">
        <v>47</v>
      </c>
      <c r="E3285" s="5">
        <v>17000</v>
      </c>
    </row>
    <row r="3286" spans="1:5" x14ac:dyDescent="0.25">
      <c r="A3286" s="6" t="s">
        <v>1418</v>
      </c>
      <c r="B3286" s="6" t="s">
        <v>177</v>
      </c>
      <c r="D3286" s="4" t="s">
        <v>178</v>
      </c>
      <c r="E3286" s="5">
        <f>8500+3000</f>
        <v>11500</v>
      </c>
    </row>
    <row r="3287" spans="1:5" x14ac:dyDescent="0.25">
      <c r="A3287" s="6" t="s">
        <v>1418</v>
      </c>
      <c r="B3287" s="6" t="s">
        <v>179</v>
      </c>
      <c r="D3287" s="4" t="s">
        <v>180</v>
      </c>
      <c r="E3287" s="5">
        <f>55000+9600</f>
        <v>64600</v>
      </c>
    </row>
    <row r="3288" spans="1:5" x14ac:dyDescent="0.25">
      <c r="A3288" s="6" t="s">
        <v>1418</v>
      </c>
      <c r="B3288" s="11" t="s">
        <v>544</v>
      </c>
      <c r="D3288" s="4" t="s">
        <v>545</v>
      </c>
      <c r="E3288" s="5">
        <v>3500</v>
      </c>
    </row>
    <row r="3289" spans="1:5" x14ac:dyDescent="0.25">
      <c r="A3289" s="6" t="s">
        <v>1418</v>
      </c>
      <c r="B3289" s="11" t="s">
        <v>183</v>
      </c>
      <c r="D3289" s="4" t="s">
        <v>1419</v>
      </c>
      <c r="E3289" s="5">
        <v>0</v>
      </c>
    </row>
    <row r="3290" spans="1:5" x14ac:dyDescent="0.25">
      <c r="A3290" s="6" t="s">
        <v>1418</v>
      </c>
      <c r="B3290" s="11" t="s">
        <v>112</v>
      </c>
      <c r="D3290" s="4" t="s">
        <v>297</v>
      </c>
      <c r="E3290" s="5">
        <v>0</v>
      </c>
    </row>
    <row r="3291" spans="1:5" x14ac:dyDescent="0.25">
      <c r="A3291" s="6" t="s">
        <v>1418</v>
      </c>
      <c r="B3291" s="11" t="s">
        <v>131</v>
      </c>
      <c r="D3291" s="4" t="s">
        <v>132</v>
      </c>
      <c r="E3291" s="5">
        <f>4000-1000</f>
        <v>3000</v>
      </c>
    </row>
    <row r="3292" spans="1:5" x14ac:dyDescent="0.25">
      <c r="A3292" s="6" t="s">
        <v>1418</v>
      </c>
      <c r="B3292" s="6" t="s">
        <v>192</v>
      </c>
      <c r="D3292" s="4" t="s">
        <v>546</v>
      </c>
      <c r="E3292" s="5">
        <v>1000</v>
      </c>
    </row>
    <row r="3294" spans="1:5" x14ac:dyDescent="0.25">
      <c r="A3294" s="6" t="s">
        <v>1420</v>
      </c>
      <c r="B3294" s="6" t="s">
        <v>4</v>
      </c>
      <c r="C3294" s="6" t="s">
        <v>4</v>
      </c>
      <c r="D3294" s="4" t="s">
        <v>4</v>
      </c>
      <c r="E3294" s="5">
        <f>SUM(E3276:E3292)</f>
        <v>134450</v>
      </c>
    </row>
    <row r="3296" spans="1:5" x14ac:dyDescent="0.25">
      <c r="A3296" s="6" t="s">
        <v>1421</v>
      </c>
    </row>
    <row r="3297" spans="1:5" x14ac:dyDescent="0.25">
      <c r="A3297" s="6" t="s">
        <v>12</v>
      </c>
    </row>
    <row r="3298" spans="1:5" x14ac:dyDescent="0.25">
      <c r="A3298" s="6" t="s">
        <v>1422</v>
      </c>
      <c r="B3298" s="6" t="s">
        <v>165</v>
      </c>
      <c r="D3298" s="4" t="s">
        <v>550</v>
      </c>
      <c r="E3298" s="5">
        <v>12000</v>
      </c>
    </row>
    <row r="3300" spans="1:5" x14ac:dyDescent="0.25">
      <c r="A3300" s="6" t="s">
        <v>1423</v>
      </c>
      <c r="B3300" s="6" t="s">
        <v>4</v>
      </c>
      <c r="C3300" s="6" t="s">
        <v>4</v>
      </c>
      <c r="D3300" s="4" t="s">
        <v>4</v>
      </c>
      <c r="E3300" s="5">
        <f>E3298</f>
        <v>12000</v>
      </c>
    </row>
    <row r="3302" spans="1:5" hidden="1" x14ac:dyDescent="0.25">
      <c r="A3302" s="6" t="s">
        <v>1424</v>
      </c>
    </row>
    <row r="3303" spans="1:5" hidden="1" x14ac:dyDescent="0.25">
      <c r="A3303" s="6" t="s">
        <v>12</v>
      </c>
    </row>
    <row r="3304" spans="1:5" hidden="1" x14ac:dyDescent="0.25">
      <c r="A3304" s="6" t="s">
        <v>1425</v>
      </c>
      <c r="B3304" s="6" t="s">
        <v>14</v>
      </c>
      <c r="D3304" s="4" t="s">
        <v>15</v>
      </c>
    </row>
    <row r="3305" spans="1:5" hidden="1" x14ac:dyDescent="0.25">
      <c r="A3305" s="6" t="s">
        <v>1425</v>
      </c>
      <c r="B3305" s="6" t="s">
        <v>17</v>
      </c>
      <c r="D3305" s="4" t="s">
        <v>18</v>
      </c>
      <c r="E3305" s="5">
        <f>E3304*B3801</f>
        <v>0</v>
      </c>
    </row>
    <row r="3306" spans="1:5" hidden="1" x14ac:dyDescent="0.25">
      <c r="A3306" s="6" t="s">
        <v>1425</v>
      </c>
      <c r="B3306" s="6" t="s">
        <v>19</v>
      </c>
      <c r="D3306" s="4" t="s">
        <v>20</v>
      </c>
      <c r="E3306" s="5">
        <f>E3304*B3802</f>
        <v>0</v>
      </c>
    </row>
    <row r="3307" spans="1:5" hidden="1" x14ac:dyDescent="0.25">
      <c r="A3307" s="6" t="s">
        <v>1425</v>
      </c>
      <c r="B3307" s="6" t="s">
        <v>21</v>
      </c>
      <c r="D3307" s="4" t="s">
        <v>22</v>
      </c>
      <c r="E3307" s="5">
        <f>E3304*B3803</f>
        <v>0</v>
      </c>
    </row>
    <row r="3308" spans="1:5" hidden="1" x14ac:dyDescent="0.25"/>
    <row r="3309" spans="1:5" hidden="1" x14ac:dyDescent="0.25">
      <c r="A3309" s="6" t="s">
        <v>1426</v>
      </c>
      <c r="B3309" s="6" t="s">
        <v>4</v>
      </c>
      <c r="C3309" s="6" t="s">
        <v>4</v>
      </c>
      <c r="D3309" s="4" t="s">
        <v>4</v>
      </c>
      <c r="E3309" s="5">
        <f>SUM(E3304:E3307)</f>
        <v>0</v>
      </c>
    </row>
    <row r="3310" spans="1:5" hidden="1" x14ac:dyDescent="0.25"/>
    <row r="3311" spans="1:5" hidden="1" x14ac:dyDescent="0.25">
      <c r="A3311" s="6" t="s">
        <v>1427</v>
      </c>
    </row>
    <row r="3312" spans="1:5" hidden="1" x14ac:dyDescent="0.25">
      <c r="A3312" s="6" t="s">
        <v>12</v>
      </c>
    </row>
    <row r="3313" spans="1:5" hidden="1" x14ac:dyDescent="0.25">
      <c r="A3313" s="6" t="s">
        <v>1428</v>
      </c>
      <c r="B3313" s="6" t="s">
        <v>46</v>
      </c>
      <c r="D3313" s="4" t="s">
        <v>47</v>
      </c>
      <c r="E3313" s="5">
        <v>0</v>
      </c>
    </row>
    <row r="3314" spans="1:5" hidden="1" x14ac:dyDescent="0.25"/>
    <row r="3315" spans="1:5" hidden="1" x14ac:dyDescent="0.25">
      <c r="A3315" s="6" t="s">
        <v>1429</v>
      </c>
      <c r="B3315" s="6" t="s">
        <v>4</v>
      </c>
      <c r="C3315" s="6" t="s">
        <v>4</v>
      </c>
      <c r="D3315" s="4" t="s">
        <v>4</v>
      </c>
      <c r="E3315" s="5">
        <f>E3313</f>
        <v>0</v>
      </c>
    </row>
    <row r="3316" spans="1:5" hidden="1" x14ac:dyDescent="0.25"/>
    <row r="3317" spans="1:5" x14ac:dyDescent="0.25">
      <c r="A3317" s="6" t="s">
        <v>1430</v>
      </c>
    </row>
    <row r="3318" spans="1:5" x14ac:dyDescent="0.25">
      <c r="A3318" s="6" t="s">
        <v>12</v>
      </c>
    </row>
    <row r="3319" spans="1:5" x14ac:dyDescent="0.25">
      <c r="A3319" s="11" t="s">
        <v>1431</v>
      </c>
      <c r="B3319" s="6" t="s">
        <v>53</v>
      </c>
      <c r="D3319" s="4" t="s">
        <v>54</v>
      </c>
      <c r="E3319" s="5">
        <v>237555</v>
      </c>
    </row>
    <row r="3320" spans="1:5" x14ac:dyDescent="0.25">
      <c r="A3320" s="11" t="s">
        <v>1431</v>
      </c>
      <c r="B3320" s="11" t="s">
        <v>245</v>
      </c>
      <c r="D3320" s="4" t="s">
        <v>707</v>
      </c>
      <c r="E3320" s="5">
        <v>2000</v>
      </c>
    </row>
    <row r="3321" spans="1:5" x14ac:dyDescent="0.25">
      <c r="A3321" s="11" t="s">
        <v>1431</v>
      </c>
      <c r="B3321" s="11" t="s">
        <v>14</v>
      </c>
      <c r="D3321" s="4" t="s">
        <v>15</v>
      </c>
      <c r="E3321" s="5">
        <v>110697</v>
      </c>
    </row>
    <row r="3322" spans="1:5" x14ac:dyDescent="0.25">
      <c r="A3322" s="11" t="s">
        <v>1431</v>
      </c>
      <c r="B3322" s="11" t="s">
        <v>17</v>
      </c>
      <c r="D3322" s="4" t="s">
        <v>18</v>
      </c>
      <c r="E3322" s="5">
        <f>E3321*B3801</f>
        <v>6863.2139999999999</v>
      </c>
    </row>
    <row r="3323" spans="1:5" x14ac:dyDescent="0.25">
      <c r="A3323" s="11" t="s">
        <v>1431</v>
      </c>
      <c r="B3323" s="6" t="s">
        <v>19</v>
      </c>
      <c r="D3323" s="4" t="s">
        <v>20</v>
      </c>
      <c r="E3323" s="5">
        <f>(E3319+E3320+E3321)*B3798</f>
        <v>5078.6540000000005</v>
      </c>
    </row>
    <row r="3324" spans="1:5" ht="16.5" customHeight="1" x14ac:dyDescent="0.25">
      <c r="A3324" s="11" t="s">
        <v>1431</v>
      </c>
      <c r="B3324" s="11" t="s">
        <v>40</v>
      </c>
      <c r="D3324" s="4" t="s">
        <v>60</v>
      </c>
      <c r="E3324" s="5">
        <f>(E3319+E3320)*B3799</f>
        <v>7186.65</v>
      </c>
    </row>
    <row r="3325" spans="1:5" ht="16.5" customHeight="1" x14ac:dyDescent="0.25">
      <c r="A3325" s="11" t="s">
        <v>1431</v>
      </c>
      <c r="B3325" s="11" t="s">
        <v>21</v>
      </c>
      <c r="D3325" s="4" t="s">
        <v>606</v>
      </c>
      <c r="E3325" s="5">
        <f>E3321*B3803</f>
        <v>25836.679799999998</v>
      </c>
    </row>
    <row r="3326" spans="1:5" x14ac:dyDescent="0.25">
      <c r="A3326" s="11"/>
      <c r="B3326" s="11"/>
    </row>
    <row r="3327" spans="1:5" x14ac:dyDescent="0.25">
      <c r="A3327" s="6" t="s">
        <v>394</v>
      </c>
      <c r="B3327" s="11"/>
      <c r="E3327" s="5">
        <f>SUM(E3319:E3325)</f>
        <v>395217.19779999997</v>
      </c>
    </row>
    <row r="3329" spans="1:5" x14ac:dyDescent="0.25">
      <c r="A3329" s="6" t="s">
        <v>1432</v>
      </c>
    </row>
    <row r="3330" spans="1:5" x14ac:dyDescent="0.25">
      <c r="A3330" s="6" t="s">
        <v>12</v>
      </c>
    </row>
    <row r="3331" spans="1:5" x14ac:dyDescent="0.25">
      <c r="A3331" s="6" t="s">
        <v>1433</v>
      </c>
      <c r="B3331" s="6" t="s">
        <v>53</v>
      </c>
      <c r="D3331" s="4" t="s">
        <v>54</v>
      </c>
      <c r="E3331" s="5">
        <v>75794</v>
      </c>
    </row>
    <row r="3332" spans="1:5" x14ac:dyDescent="0.25">
      <c r="A3332" s="6" t="s">
        <v>1433</v>
      </c>
      <c r="B3332" s="6" t="s">
        <v>19</v>
      </c>
      <c r="D3332" s="4" t="s">
        <v>20</v>
      </c>
      <c r="E3332" s="5">
        <f>E3331*B3798</f>
        <v>1099.0130000000001</v>
      </c>
    </row>
    <row r="3333" spans="1:5" x14ac:dyDescent="0.25">
      <c r="A3333" s="6" t="s">
        <v>1433</v>
      </c>
      <c r="B3333" s="11" t="s">
        <v>40</v>
      </c>
      <c r="D3333" s="4" t="s">
        <v>41</v>
      </c>
      <c r="E3333" s="5">
        <f>E3331*B3799</f>
        <v>2273.8199999999997</v>
      </c>
    </row>
    <row r="3335" spans="1:5" x14ac:dyDescent="0.25">
      <c r="A3335" s="6" t="s">
        <v>1434</v>
      </c>
      <c r="B3335" s="6" t="s">
        <v>4</v>
      </c>
      <c r="C3335" s="6" t="s">
        <v>4</v>
      </c>
      <c r="D3335" s="4" t="s">
        <v>4</v>
      </c>
      <c r="E3335" s="5">
        <f>SUM(E3331:E3333)</f>
        <v>79166.833000000013</v>
      </c>
    </row>
    <row r="3337" spans="1:5" x14ac:dyDescent="0.25">
      <c r="A3337" s="11" t="s">
        <v>1435</v>
      </c>
      <c r="B3337" s="6" t="s">
        <v>53</v>
      </c>
      <c r="D3337" s="4" t="s">
        <v>54</v>
      </c>
      <c r="E3337" s="5">
        <v>70329</v>
      </c>
    </row>
    <row r="3338" spans="1:5" x14ac:dyDescent="0.25">
      <c r="A3338" s="11" t="s">
        <v>1435</v>
      </c>
      <c r="B3338" s="12" t="s">
        <v>25</v>
      </c>
      <c r="D3338" s="4" t="s">
        <v>58</v>
      </c>
      <c r="E3338" s="5">
        <f>225*2</f>
        <v>450</v>
      </c>
    </row>
    <row r="3339" spans="1:5" x14ac:dyDescent="0.25">
      <c r="A3339" s="11" t="s">
        <v>1435</v>
      </c>
      <c r="B3339" s="12" t="s">
        <v>17</v>
      </c>
      <c r="D3339" s="4" t="s">
        <v>18</v>
      </c>
      <c r="E3339" s="5">
        <f>(E3338)*B3801</f>
        <v>27.9</v>
      </c>
    </row>
    <row r="3340" spans="1:5" x14ac:dyDescent="0.25">
      <c r="A3340" s="11" t="s">
        <v>1435</v>
      </c>
      <c r="B3340" s="6" t="s">
        <v>19</v>
      </c>
      <c r="D3340" s="4" t="s">
        <v>20</v>
      </c>
      <c r="E3340" s="5">
        <f>(E3337+E3338)*B3798</f>
        <v>1026.2954999999999</v>
      </c>
    </row>
    <row r="3341" spans="1:5" x14ac:dyDescent="0.25">
      <c r="A3341" s="11" t="s">
        <v>1435</v>
      </c>
      <c r="B3341" s="11" t="s">
        <v>40</v>
      </c>
      <c r="D3341" s="4" t="s">
        <v>41</v>
      </c>
      <c r="E3341" s="5">
        <f>E3337*B3799</f>
        <v>2109.87</v>
      </c>
    </row>
    <row r="3342" spans="1:5" x14ac:dyDescent="0.25">
      <c r="A3342" s="11" t="s">
        <v>1435</v>
      </c>
      <c r="B3342" s="11" t="s">
        <v>21</v>
      </c>
      <c r="D3342" s="4" t="s">
        <v>606</v>
      </c>
      <c r="E3342" s="5">
        <f>(E3338)*B3803</f>
        <v>105.03</v>
      </c>
    </row>
    <row r="3344" spans="1:5" x14ac:dyDescent="0.25">
      <c r="A3344" s="6" t="s">
        <v>394</v>
      </c>
      <c r="E3344" s="5">
        <f>SUM(E3337:E3342)</f>
        <v>74048.095499999981</v>
      </c>
    </row>
    <row r="3346" spans="1:5" x14ac:dyDescent="0.25">
      <c r="A3346" s="6" t="s">
        <v>1436</v>
      </c>
    </row>
    <row r="3347" spans="1:5" x14ac:dyDescent="0.25">
      <c r="A3347" s="6" t="s">
        <v>12</v>
      </c>
    </row>
    <row r="3348" spans="1:5" x14ac:dyDescent="0.25">
      <c r="A3348" s="6" t="s">
        <v>1437</v>
      </c>
      <c r="B3348" s="11" t="s">
        <v>53</v>
      </c>
      <c r="D3348" s="4" t="s">
        <v>15</v>
      </c>
      <c r="E3348" s="5">
        <v>77732</v>
      </c>
    </row>
    <row r="3349" spans="1:5" x14ac:dyDescent="0.25">
      <c r="A3349" s="6" t="s">
        <v>1437</v>
      </c>
      <c r="B3349" s="6" t="s">
        <v>19</v>
      </c>
      <c r="D3349" s="4" t="s">
        <v>20</v>
      </c>
      <c r="E3349" s="5">
        <f>E3348*B3798</f>
        <v>1127.114</v>
      </c>
    </row>
    <row r="3350" spans="1:5" x14ac:dyDescent="0.25">
      <c r="A3350" s="6" t="s">
        <v>1437</v>
      </c>
      <c r="B3350" s="11" t="s">
        <v>40</v>
      </c>
      <c r="D3350" s="4" t="s">
        <v>41</v>
      </c>
      <c r="E3350" s="5">
        <f>E3348*B3799</f>
        <v>2331.96</v>
      </c>
    </row>
    <row r="3352" spans="1:5" x14ac:dyDescent="0.25">
      <c r="A3352" s="6" t="s">
        <v>1438</v>
      </c>
      <c r="B3352" s="6" t="s">
        <v>4</v>
      </c>
      <c r="C3352" s="6" t="s">
        <v>4</v>
      </c>
      <c r="D3352" s="4" t="s">
        <v>4</v>
      </c>
      <c r="E3352" s="5">
        <f>SUM(E3348:E3350)</f>
        <v>81191.074000000008</v>
      </c>
    </row>
    <row r="3353" spans="1:5" x14ac:dyDescent="0.25">
      <c r="A3353" s="6"/>
      <c r="B3353" s="6"/>
      <c r="C3353" s="6"/>
    </row>
    <row r="3354" spans="1:5" x14ac:dyDescent="0.25">
      <c r="A3354" s="6"/>
      <c r="B3354" s="6"/>
      <c r="C3354" s="6"/>
    </row>
    <row r="3355" spans="1:5" x14ac:dyDescent="0.25">
      <c r="A3355" s="6" t="s">
        <v>1439</v>
      </c>
    </row>
    <row r="3356" spans="1:5" x14ac:dyDescent="0.25">
      <c r="A3356" s="6"/>
    </row>
    <row r="3357" spans="1:5" x14ac:dyDescent="0.25">
      <c r="A3357" s="11" t="s">
        <v>1440</v>
      </c>
      <c r="B3357" s="12" t="s">
        <v>53</v>
      </c>
      <c r="D3357" s="4" t="s">
        <v>54</v>
      </c>
      <c r="E3357" s="5">
        <v>14444</v>
      </c>
    </row>
    <row r="3358" spans="1:5" x14ac:dyDescent="0.25">
      <c r="A3358" s="11" t="s">
        <v>1440</v>
      </c>
      <c r="B3358" s="12" t="s">
        <v>19</v>
      </c>
      <c r="D3358" s="4" t="s">
        <v>20</v>
      </c>
      <c r="E3358" s="5">
        <f>E3357*B3798</f>
        <v>209.43800000000002</v>
      </c>
    </row>
    <row r="3359" spans="1:5" x14ac:dyDescent="0.25">
      <c r="A3359" s="11" t="s">
        <v>1440</v>
      </c>
      <c r="B3359" s="12" t="s">
        <v>40</v>
      </c>
      <c r="D3359" s="4" t="s">
        <v>60</v>
      </c>
      <c r="E3359" s="5">
        <f>E3357*B3799</f>
        <v>433.32</v>
      </c>
    </row>
    <row r="3360" spans="1:5" x14ac:dyDescent="0.25">
      <c r="A3360" s="6"/>
      <c r="B3360" s="6"/>
      <c r="C3360" s="6"/>
    </row>
    <row r="3361" spans="1:5" x14ac:dyDescent="0.25">
      <c r="A3361" s="6" t="s">
        <v>394</v>
      </c>
      <c r="B3361" s="6"/>
      <c r="C3361" s="6"/>
      <c r="E3361" s="5">
        <f>SUM(E3357:E3359)</f>
        <v>15086.758</v>
      </c>
    </row>
    <row r="3362" spans="1:5" x14ac:dyDescent="0.25">
      <c r="A3362" s="6"/>
      <c r="B3362" s="6"/>
      <c r="C3362" s="6"/>
    </row>
    <row r="3363" spans="1:5" hidden="1" x14ac:dyDescent="0.25">
      <c r="A3363" s="6" t="s">
        <v>1441</v>
      </c>
    </row>
    <row r="3364" spans="1:5" hidden="1" x14ac:dyDescent="0.25">
      <c r="A3364" s="6" t="s">
        <v>12</v>
      </c>
    </row>
    <row r="3365" spans="1:5" hidden="1" x14ac:dyDescent="0.25">
      <c r="A3365" s="6" t="s">
        <v>1440</v>
      </c>
      <c r="B3365" s="6" t="s">
        <v>53</v>
      </c>
      <c r="D3365" s="4" t="s">
        <v>54</v>
      </c>
      <c r="E3365" s="5">
        <v>0</v>
      </c>
    </row>
    <row r="3366" spans="1:5" hidden="1" x14ac:dyDescent="0.25">
      <c r="A3366" s="6" t="s">
        <v>1440</v>
      </c>
      <c r="B3366" s="6" t="s">
        <v>19</v>
      </c>
      <c r="D3366" s="4" t="s">
        <v>20</v>
      </c>
      <c r="E3366" s="5">
        <f>E3365*B3798</f>
        <v>0</v>
      </c>
    </row>
    <row r="3367" spans="1:5" hidden="1" x14ac:dyDescent="0.25">
      <c r="A3367" s="6" t="s">
        <v>1440</v>
      </c>
      <c r="B3367" s="11" t="s">
        <v>40</v>
      </c>
      <c r="D3367" s="4" t="s">
        <v>41</v>
      </c>
      <c r="E3367" s="5">
        <f>E3365*B3799</f>
        <v>0</v>
      </c>
    </row>
    <row r="3368" spans="1:5" hidden="1" x14ac:dyDescent="0.25">
      <c r="A3368" s="6" t="s">
        <v>1440</v>
      </c>
      <c r="B3368" s="11" t="s">
        <v>372</v>
      </c>
      <c r="D3368" s="4" t="s">
        <v>567</v>
      </c>
      <c r="E3368" s="5">
        <v>0</v>
      </c>
    </row>
    <row r="3369" spans="1:5" hidden="1" x14ac:dyDescent="0.25">
      <c r="A3369" s="6" t="s">
        <v>1440</v>
      </c>
      <c r="B3369" s="6" t="s">
        <v>46</v>
      </c>
      <c r="D3369" s="4" t="s">
        <v>47</v>
      </c>
      <c r="E3369" s="5">
        <v>0</v>
      </c>
    </row>
    <row r="3370" spans="1:5" hidden="1" x14ac:dyDescent="0.25">
      <c r="A3370" s="6" t="s">
        <v>1440</v>
      </c>
      <c r="B3370" s="6" t="s">
        <v>690</v>
      </c>
      <c r="D3370" s="4" t="s">
        <v>691</v>
      </c>
      <c r="E3370" s="5">
        <v>0</v>
      </c>
    </row>
    <row r="3371" spans="1:5" hidden="1" x14ac:dyDescent="0.25">
      <c r="A3371" s="6" t="s">
        <v>1440</v>
      </c>
      <c r="B3371" s="6" t="s">
        <v>498</v>
      </c>
      <c r="D3371" s="4" t="s">
        <v>499</v>
      </c>
      <c r="E3371" s="5">
        <v>0</v>
      </c>
    </row>
    <row r="3372" spans="1:5" hidden="1" x14ac:dyDescent="0.25">
      <c r="A3372" s="6" t="s">
        <v>1440</v>
      </c>
      <c r="B3372" s="6" t="s">
        <v>1155</v>
      </c>
      <c r="D3372" s="4" t="s">
        <v>1156</v>
      </c>
      <c r="E3372" s="5">
        <v>0</v>
      </c>
    </row>
    <row r="3373" spans="1:5" hidden="1" x14ac:dyDescent="0.25"/>
    <row r="3374" spans="1:5" hidden="1" x14ac:dyDescent="0.25">
      <c r="A3374" s="6" t="s">
        <v>1442</v>
      </c>
      <c r="B3374" s="6" t="s">
        <v>4</v>
      </c>
      <c r="C3374" s="6" t="s">
        <v>4</v>
      </c>
      <c r="D3374" s="4" t="s">
        <v>4</v>
      </c>
      <c r="E3374" s="5">
        <f>SUM(E3365:E3372)</f>
        <v>0</v>
      </c>
    </row>
    <row r="3375" spans="1:5" hidden="1" x14ac:dyDescent="0.25"/>
    <row r="3376" spans="1:5" x14ac:dyDescent="0.25">
      <c r="A3376" s="6" t="s">
        <v>1443</v>
      </c>
    </row>
    <row r="3377" spans="1:5" x14ac:dyDescent="0.25">
      <c r="A3377" s="6" t="s">
        <v>12</v>
      </c>
    </row>
    <row r="3378" spans="1:5" x14ac:dyDescent="0.25">
      <c r="A3378" s="6" t="s">
        <v>1444</v>
      </c>
      <c r="B3378" s="6" t="s">
        <v>53</v>
      </c>
      <c r="D3378" s="4" t="s">
        <v>54</v>
      </c>
      <c r="E3378" s="5">
        <v>142608</v>
      </c>
    </row>
    <row r="3379" spans="1:5" x14ac:dyDescent="0.25">
      <c r="A3379" s="6" t="s">
        <v>1444</v>
      </c>
      <c r="B3379" s="6" t="s">
        <v>34</v>
      </c>
      <c r="D3379" s="4" t="s">
        <v>57</v>
      </c>
      <c r="E3379" s="5">
        <v>0</v>
      </c>
    </row>
    <row r="3380" spans="1:5" x14ac:dyDescent="0.25">
      <c r="A3380" s="6" t="s">
        <v>1444</v>
      </c>
      <c r="B3380" s="11" t="s">
        <v>1160</v>
      </c>
      <c r="D3380" s="4" t="s">
        <v>105</v>
      </c>
      <c r="E3380" s="5">
        <v>0</v>
      </c>
    </row>
    <row r="3381" spans="1:5" x14ac:dyDescent="0.25">
      <c r="A3381" s="6" t="s">
        <v>1444</v>
      </c>
      <c r="B3381" s="6" t="s">
        <v>14</v>
      </c>
      <c r="D3381" s="4" t="s">
        <v>15</v>
      </c>
      <c r="E3381" s="5">
        <v>41183</v>
      </c>
    </row>
    <row r="3382" spans="1:5" x14ac:dyDescent="0.25">
      <c r="A3382" s="6" t="s">
        <v>1444</v>
      </c>
      <c r="B3382" s="11" t="s">
        <v>25</v>
      </c>
      <c r="D3382" s="4" t="s">
        <v>58</v>
      </c>
      <c r="E3382" s="5">
        <f>2600</f>
        <v>2600</v>
      </c>
    </row>
    <row r="3383" spans="1:5" x14ac:dyDescent="0.25">
      <c r="A3383" s="6" t="s">
        <v>1444</v>
      </c>
      <c r="B3383" s="11" t="s">
        <v>36</v>
      </c>
      <c r="D3383" s="4" t="s">
        <v>37</v>
      </c>
      <c r="E3383" s="5">
        <v>200</v>
      </c>
    </row>
    <row r="3384" spans="1:5" x14ac:dyDescent="0.25">
      <c r="A3384" s="6" t="s">
        <v>1444</v>
      </c>
      <c r="B3384" s="6" t="s">
        <v>17</v>
      </c>
      <c r="D3384" s="4" t="s">
        <v>18</v>
      </c>
      <c r="E3384" s="5">
        <f>(E3381+E3382+E3383)*B3801</f>
        <v>2726.9459999999999</v>
      </c>
    </row>
    <row r="3385" spans="1:5" x14ac:dyDescent="0.25">
      <c r="A3385" s="6" t="s">
        <v>1444</v>
      </c>
      <c r="B3385" s="6" t="s">
        <v>19</v>
      </c>
      <c r="D3385" s="4" t="s">
        <v>20</v>
      </c>
      <c r="E3385" s="14">
        <f>(SUM(E3378:E3379)+SUM(E3381:E3383))*B3802</f>
        <v>2705.5695000000001</v>
      </c>
    </row>
    <row r="3386" spans="1:5" x14ac:dyDescent="0.25">
      <c r="A3386" s="6" t="s">
        <v>1444</v>
      </c>
      <c r="B3386" s="6" t="s">
        <v>40</v>
      </c>
      <c r="D3386" s="4" t="s">
        <v>60</v>
      </c>
      <c r="E3386" s="5">
        <f>SUM(E3378:E3379)*B3799</f>
        <v>4278.24</v>
      </c>
    </row>
    <row r="3387" spans="1:5" x14ac:dyDescent="0.25">
      <c r="A3387" s="6" t="s">
        <v>1444</v>
      </c>
      <c r="B3387" s="6" t="s">
        <v>21</v>
      </c>
      <c r="D3387" s="4" t="s">
        <v>22</v>
      </c>
      <c r="E3387" s="5">
        <f>(E3381+E3382+E3383)*B3803</f>
        <v>10265.6322</v>
      </c>
    </row>
    <row r="3388" spans="1:5" x14ac:dyDescent="0.25">
      <c r="A3388" s="6" t="s">
        <v>1444</v>
      </c>
      <c r="B3388" s="6" t="s">
        <v>385</v>
      </c>
      <c r="D3388" s="4" t="s">
        <v>560</v>
      </c>
      <c r="E3388" s="5">
        <v>0</v>
      </c>
    </row>
    <row r="3389" spans="1:5" x14ac:dyDescent="0.25">
      <c r="A3389" s="6" t="s">
        <v>1444</v>
      </c>
      <c r="B3389" s="6" t="s">
        <v>88</v>
      </c>
      <c r="D3389" s="4" t="s">
        <v>523</v>
      </c>
      <c r="E3389" s="5">
        <v>0</v>
      </c>
    </row>
    <row r="3390" spans="1:5" x14ac:dyDescent="0.25">
      <c r="A3390" s="6" t="s">
        <v>1444</v>
      </c>
      <c r="B3390" s="6" t="s">
        <v>46</v>
      </c>
      <c r="D3390" s="4" t="s">
        <v>47</v>
      </c>
      <c r="E3390" s="5">
        <v>0</v>
      </c>
    </row>
    <row r="3392" spans="1:5" x14ac:dyDescent="0.25">
      <c r="A3392" s="6" t="s">
        <v>1445</v>
      </c>
      <c r="B3392" s="6" t="s">
        <v>4</v>
      </c>
      <c r="C3392" s="6" t="s">
        <v>4</v>
      </c>
      <c r="D3392" s="4" t="s">
        <v>4</v>
      </c>
      <c r="E3392" s="5">
        <f>SUM(E3378:E3390)</f>
        <v>206567.38769999999</v>
      </c>
    </row>
    <row r="3394" spans="1:6" x14ac:dyDescent="0.25">
      <c r="A3394" s="6" t="s">
        <v>1446</v>
      </c>
    </row>
    <row r="3395" spans="1:6" x14ac:dyDescent="0.25">
      <c r="A3395" s="6" t="s">
        <v>12</v>
      </c>
    </row>
    <row r="3396" spans="1:6" x14ac:dyDescent="0.25">
      <c r="A3396" s="6" t="s">
        <v>1447</v>
      </c>
      <c r="B3396" s="6" t="s">
        <v>14</v>
      </c>
      <c r="D3396" s="4" t="s">
        <v>15</v>
      </c>
      <c r="E3396" s="5">
        <v>158232</v>
      </c>
    </row>
    <row r="3397" spans="1:6" x14ac:dyDescent="0.25">
      <c r="A3397" s="6" t="s">
        <v>1447</v>
      </c>
      <c r="B3397" s="11" t="s">
        <v>25</v>
      </c>
      <c r="D3397" s="4" t="s">
        <v>58</v>
      </c>
      <c r="E3397" s="5">
        <f>500+1200</f>
        <v>1700</v>
      </c>
    </row>
    <row r="3398" spans="1:6" x14ac:dyDescent="0.25">
      <c r="A3398" s="6" t="s">
        <v>1447</v>
      </c>
      <c r="B3398" s="6" t="s">
        <v>36</v>
      </c>
      <c r="D3398" s="4" t="s">
        <v>157</v>
      </c>
      <c r="E3398" s="5">
        <f>2000+2000</f>
        <v>4000</v>
      </c>
    </row>
    <row r="3399" spans="1:6" x14ac:dyDescent="0.25">
      <c r="A3399" s="6" t="s">
        <v>1447</v>
      </c>
      <c r="B3399" s="6" t="s">
        <v>17</v>
      </c>
      <c r="D3399" s="4" t="s">
        <v>18</v>
      </c>
      <c r="E3399" s="5">
        <f>SUM(E3396:E3398)*B3801</f>
        <v>10163.784</v>
      </c>
      <c r="F3399" s="4" t="s">
        <v>4</v>
      </c>
    </row>
    <row r="3400" spans="1:6" x14ac:dyDescent="0.25">
      <c r="A3400" s="6" t="s">
        <v>1447</v>
      </c>
      <c r="B3400" s="6" t="s">
        <v>19</v>
      </c>
      <c r="D3400" s="4" t="s">
        <v>20</v>
      </c>
      <c r="E3400" s="5">
        <f>SUM(E3396:E3398)*B3802</f>
        <v>2377.0140000000001</v>
      </c>
      <c r="F3400" s="4" t="s">
        <v>4</v>
      </c>
    </row>
    <row r="3401" spans="1:6" x14ac:dyDescent="0.25">
      <c r="A3401" s="6" t="s">
        <v>1447</v>
      </c>
      <c r="B3401" s="6" t="s">
        <v>21</v>
      </c>
      <c r="D3401" s="4" t="s">
        <v>22</v>
      </c>
      <c r="E3401" s="5">
        <f>SUM(E3396:E3398)*B3803</f>
        <v>38261.728799999997</v>
      </c>
      <c r="F3401" s="4" t="s">
        <v>4</v>
      </c>
    </row>
    <row r="3403" spans="1:6" x14ac:dyDescent="0.25">
      <c r="A3403" s="6" t="s">
        <v>1448</v>
      </c>
      <c r="B3403" s="6" t="s">
        <v>4</v>
      </c>
      <c r="C3403" s="6" t="s">
        <v>4</v>
      </c>
      <c r="D3403" s="4" t="s">
        <v>4</v>
      </c>
      <c r="E3403" s="5">
        <f>SUM(E3396:E3401)</f>
        <v>214734.52679999999</v>
      </c>
    </row>
    <row r="3405" spans="1:6" x14ac:dyDescent="0.25">
      <c r="A3405" s="6" t="s">
        <v>1449</v>
      </c>
    </row>
    <row r="3406" spans="1:6" x14ac:dyDescent="0.25">
      <c r="A3406" s="6" t="s">
        <v>12</v>
      </c>
    </row>
    <row r="3407" spans="1:6" x14ac:dyDescent="0.25">
      <c r="A3407" s="6" t="s">
        <v>1450</v>
      </c>
      <c r="B3407" s="6" t="s">
        <v>1168</v>
      </c>
      <c r="D3407" s="4" t="s">
        <v>1169</v>
      </c>
      <c r="E3407" s="5">
        <v>3000</v>
      </c>
    </row>
    <row r="3409" spans="1:6" x14ac:dyDescent="0.25">
      <c r="A3409" s="6" t="s">
        <v>1451</v>
      </c>
      <c r="B3409" s="6" t="s">
        <v>4</v>
      </c>
      <c r="C3409" s="6" t="s">
        <v>4</v>
      </c>
      <c r="D3409" s="4" t="s">
        <v>4</v>
      </c>
      <c r="E3409" s="5">
        <f>E3407</f>
        <v>3000</v>
      </c>
    </row>
    <row r="3411" spans="1:6" x14ac:dyDescent="0.25">
      <c r="A3411" s="6" t="s">
        <v>1452</v>
      </c>
    </row>
    <row r="3412" spans="1:6" x14ac:dyDescent="0.25">
      <c r="A3412" s="6" t="s">
        <v>12</v>
      </c>
    </row>
    <row r="3413" spans="1:6" x14ac:dyDescent="0.25">
      <c r="A3413" s="6" t="s">
        <v>1453</v>
      </c>
      <c r="B3413" s="6" t="s">
        <v>53</v>
      </c>
      <c r="D3413" s="4" t="s">
        <v>54</v>
      </c>
      <c r="E3413" s="5">
        <v>905753</v>
      </c>
    </row>
    <row r="3414" spans="1:6" x14ac:dyDescent="0.25">
      <c r="A3414" s="6" t="s">
        <v>1453</v>
      </c>
      <c r="B3414" s="6" t="s">
        <v>55</v>
      </c>
      <c r="D3414" s="4" t="s">
        <v>56</v>
      </c>
      <c r="E3414" s="5">
        <v>0</v>
      </c>
    </row>
    <row r="3415" spans="1:6" x14ac:dyDescent="0.25">
      <c r="A3415" s="6" t="s">
        <v>1453</v>
      </c>
      <c r="B3415" s="11" t="s">
        <v>249</v>
      </c>
      <c r="D3415" s="4" t="s">
        <v>250</v>
      </c>
      <c r="E3415" s="5">
        <v>2000</v>
      </c>
      <c r="F3415" s="4" t="s">
        <v>4</v>
      </c>
    </row>
    <row r="3416" spans="1:6" x14ac:dyDescent="0.25">
      <c r="A3416" s="6" t="s">
        <v>1453</v>
      </c>
      <c r="B3416" s="11" t="s">
        <v>245</v>
      </c>
      <c r="D3416" s="4" t="s">
        <v>246</v>
      </c>
      <c r="E3416" s="5">
        <v>8000</v>
      </c>
    </row>
    <row r="3417" spans="1:6" x14ac:dyDescent="0.25">
      <c r="A3417" s="6" t="s">
        <v>1453</v>
      </c>
      <c r="B3417" s="6" t="s">
        <v>14</v>
      </c>
      <c r="D3417" s="4" t="s">
        <v>15</v>
      </c>
      <c r="E3417" s="5">
        <v>78720</v>
      </c>
    </row>
    <row r="3418" spans="1:6" x14ac:dyDescent="0.25">
      <c r="A3418" s="6" t="s">
        <v>1453</v>
      </c>
      <c r="B3418" s="6" t="s">
        <v>17</v>
      </c>
      <c r="D3418" s="4" t="s">
        <v>18</v>
      </c>
      <c r="E3418" s="5">
        <f>E3417*B3801</f>
        <v>4880.6400000000003</v>
      </c>
    </row>
    <row r="3419" spans="1:6" x14ac:dyDescent="0.25">
      <c r="A3419" s="6" t="s">
        <v>1453</v>
      </c>
      <c r="B3419" s="6" t="s">
        <v>19</v>
      </c>
      <c r="D3419" s="4" t="s">
        <v>20</v>
      </c>
      <c r="E3419" s="5">
        <f>SUM(E3413:E3417)*B3802</f>
        <v>14419.8585</v>
      </c>
      <c r="F3419" s="4" t="s">
        <v>4</v>
      </c>
    </row>
    <row r="3420" spans="1:6" x14ac:dyDescent="0.25">
      <c r="A3420" s="6" t="s">
        <v>1453</v>
      </c>
      <c r="B3420" s="11" t="s">
        <v>40</v>
      </c>
      <c r="D3420" s="4" t="s">
        <v>60</v>
      </c>
      <c r="E3420" s="5">
        <f>SUM(E3413:E3416)*B3799</f>
        <v>27472.59</v>
      </c>
    </row>
    <row r="3421" spans="1:6" x14ac:dyDescent="0.25">
      <c r="A3421" s="6" t="s">
        <v>1453</v>
      </c>
      <c r="B3421" s="6" t="s">
        <v>21</v>
      </c>
      <c r="D3421" s="4" t="s">
        <v>22</v>
      </c>
      <c r="E3421" s="5">
        <f>E3417*B3803</f>
        <v>18373.248</v>
      </c>
      <c r="F3421" s="4" t="s">
        <v>4</v>
      </c>
    </row>
    <row r="3422" spans="1:6" x14ac:dyDescent="0.25">
      <c r="A3422" s="6" t="s">
        <v>1453</v>
      </c>
      <c r="B3422" s="6" t="s">
        <v>385</v>
      </c>
      <c r="D3422" s="4" t="s">
        <v>560</v>
      </c>
      <c r="E3422" s="5">
        <v>0</v>
      </c>
      <c r="F3422" s="4" t="s">
        <v>4</v>
      </c>
    </row>
    <row r="3423" spans="1:6" x14ac:dyDescent="0.25">
      <c r="A3423" s="6" t="s">
        <v>1453</v>
      </c>
      <c r="B3423" s="6" t="s">
        <v>46</v>
      </c>
      <c r="D3423" s="4" t="s">
        <v>47</v>
      </c>
      <c r="E3423" s="5">
        <v>64239</v>
      </c>
      <c r="F3423" s="4" t="s">
        <v>789</v>
      </c>
    </row>
    <row r="3424" spans="1:6" x14ac:dyDescent="0.25">
      <c r="A3424" s="6" t="s">
        <v>1453</v>
      </c>
      <c r="B3424" s="6" t="s">
        <v>78</v>
      </c>
      <c r="D3424" s="4" t="s">
        <v>570</v>
      </c>
      <c r="E3424" s="5">
        <v>0</v>
      </c>
    </row>
    <row r="3425" spans="1:5" x14ac:dyDescent="0.25">
      <c r="A3425" s="6" t="s">
        <v>1453</v>
      </c>
      <c r="B3425" s="6" t="s">
        <v>479</v>
      </c>
      <c r="D3425" s="4" t="s">
        <v>502</v>
      </c>
      <c r="E3425" s="5">
        <v>0</v>
      </c>
    </row>
    <row r="3427" spans="1:5" x14ac:dyDescent="0.25">
      <c r="A3427" s="6" t="s">
        <v>1454</v>
      </c>
      <c r="B3427" s="6" t="s">
        <v>4</v>
      </c>
      <c r="C3427" s="6" t="s">
        <v>4</v>
      </c>
      <c r="D3427" s="4" t="s">
        <v>4</v>
      </c>
      <c r="E3427" s="5">
        <f>SUM(E3413:E3425)</f>
        <v>1123858.3365</v>
      </c>
    </row>
    <row r="3429" spans="1:5" x14ac:dyDescent="0.25">
      <c r="A3429" s="11" t="s">
        <v>1455</v>
      </c>
    </row>
    <row r="3430" spans="1:5" x14ac:dyDescent="0.25">
      <c r="A3430" s="6" t="s">
        <v>12</v>
      </c>
    </row>
    <row r="3431" spans="1:5" x14ac:dyDescent="0.25">
      <c r="A3431" s="6" t="s">
        <v>1456</v>
      </c>
      <c r="B3431" s="6" t="s">
        <v>53</v>
      </c>
      <c r="D3431" s="4" t="s">
        <v>54</v>
      </c>
      <c r="E3431" s="5">
        <v>46766</v>
      </c>
    </row>
    <row r="3432" spans="1:5" x14ac:dyDescent="0.25">
      <c r="A3432" s="6" t="s">
        <v>1456</v>
      </c>
      <c r="B3432" s="6" t="s">
        <v>55</v>
      </c>
      <c r="D3432" s="4" t="s">
        <v>56</v>
      </c>
      <c r="E3432" s="5">
        <v>4803</v>
      </c>
    </row>
    <row r="3433" spans="1:5" x14ac:dyDescent="0.25">
      <c r="A3433" s="6" t="s">
        <v>1456</v>
      </c>
      <c r="B3433" s="11" t="s">
        <v>32</v>
      </c>
      <c r="D3433" s="4" t="s">
        <v>33</v>
      </c>
      <c r="E3433" s="5">
        <v>0</v>
      </c>
    </row>
    <row r="3434" spans="1:5" x14ac:dyDescent="0.25">
      <c r="A3434" s="6" t="s">
        <v>1456</v>
      </c>
      <c r="B3434" s="6" t="s">
        <v>19</v>
      </c>
      <c r="D3434" s="4" t="s">
        <v>20</v>
      </c>
      <c r="E3434" s="5">
        <f>SUM(E3431:E3433)*B3798</f>
        <v>747.75049999999999</v>
      </c>
    </row>
    <row r="3435" spans="1:5" x14ac:dyDescent="0.25">
      <c r="A3435" s="6" t="s">
        <v>1456</v>
      </c>
      <c r="B3435" s="11" t="s">
        <v>40</v>
      </c>
      <c r="D3435" s="4" t="s">
        <v>41</v>
      </c>
      <c r="E3435" s="5">
        <f>SUM(E3431:E3433)*B3799</f>
        <v>1547.07</v>
      </c>
    </row>
    <row r="3437" spans="1:5" x14ac:dyDescent="0.25">
      <c r="A3437" s="6" t="s">
        <v>1457</v>
      </c>
      <c r="E3437" s="5">
        <f>SUM(E3431:E3435)</f>
        <v>53863.820500000002</v>
      </c>
    </row>
    <row r="3439" spans="1:5" x14ac:dyDescent="0.25">
      <c r="A3439" s="6" t="s">
        <v>1458</v>
      </c>
    </row>
    <row r="3440" spans="1:5" x14ac:dyDescent="0.25">
      <c r="A3440" s="6" t="s">
        <v>12</v>
      </c>
    </row>
    <row r="3441" spans="1:6" x14ac:dyDescent="0.25">
      <c r="A3441" s="6" t="s">
        <v>1459</v>
      </c>
      <c r="B3441" s="6" t="s">
        <v>53</v>
      </c>
      <c r="D3441" s="4" t="s">
        <v>54</v>
      </c>
      <c r="E3441" s="5">
        <v>215330</v>
      </c>
    </row>
    <row r="3442" spans="1:6" x14ac:dyDescent="0.25">
      <c r="A3442" s="6" t="s">
        <v>1459</v>
      </c>
      <c r="B3442" s="6" t="s">
        <v>14</v>
      </c>
      <c r="D3442" s="4" t="s">
        <v>15</v>
      </c>
      <c r="E3442" s="5">
        <v>140081</v>
      </c>
    </row>
    <row r="3443" spans="1:6" x14ac:dyDescent="0.25">
      <c r="A3443" s="6" t="s">
        <v>1459</v>
      </c>
      <c r="B3443" s="6" t="s">
        <v>25</v>
      </c>
      <c r="D3443" s="4" t="s">
        <v>58</v>
      </c>
      <c r="E3443" s="5">
        <v>0</v>
      </c>
    </row>
    <row r="3444" spans="1:6" x14ac:dyDescent="0.25">
      <c r="A3444" s="6" t="s">
        <v>1459</v>
      </c>
      <c r="B3444" s="6" t="s">
        <v>17</v>
      </c>
      <c r="D3444" s="4" t="s">
        <v>18</v>
      </c>
      <c r="E3444" s="5">
        <f>SUM(E3442:E3443)*B3801</f>
        <v>8685.0220000000008</v>
      </c>
    </row>
    <row r="3445" spans="1:6" x14ac:dyDescent="0.25">
      <c r="A3445" s="6" t="s">
        <v>1459</v>
      </c>
      <c r="B3445" s="6" t="s">
        <v>19</v>
      </c>
      <c r="D3445" s="4" t="s">
        <v>20</v>
      </c>
      <c r="E3445" s="5">
        <f>SUM(E3441:E3443)*B3802</f>
        <v>5153.4594999999999</v>
      </c>
      <c r="F3445" s="4" t="s">
        <v>4</v>
      </c>
    </row>
    <row r="3446" spans="1:6" x14ac:dyDescent="0.25">
      <c r="A3446" s="6" t="s">
        <v>1459</v>
      </c>
      <c r="B3446" s="11" t="s">
        <v>40</v>
      </c>
      <c r="D3446" s="4" t="s">
        <v>41</v>
      </c>
      <c r="E3446" s="5">
        <f>E3441*B3799</f>
        <v>6459.9</v>
      </c>
    </row>
    <row r="3447" spans="1:6" x14ac:dyDescent="0.25">
      <c r="A3447" s="6" t="s">
        <v>1459</v>
      </c>
      <c r="B3447" s="6" t="s">
        <v>21</v>
      </c>
      <c r="D3447" s="4" t="s">
        <v>22</v>
      </c>
      <c r="E3447" s="5">
        <f>SUM(E3442:E3443)*B3803</f>
        <v>32694.9054</v>
      </c>
      <c r="F3447" s="4" t="s">
        <v>4</v>
      </c>
    </row>
    <row r="3448" spans="1:6" x14ac:dyDescent="0.25">
      <c r="A3448" s="6" t="s">
        <v>1459</v>
      </c>
      <c r="B3448" s="11" t="s">
        <v>46</v>
      </c>
      <c r="D3448" s="4" t="s">
        <v>47</v>
      </c>
      <c r="E3448" s="5">
        <v>0</v>
      </c>
    </row>
    <row r="3450" spans="1:6" x14ac:dyDescent="0.25">
      <c r="A3450" s="6" t="s">
        <v>1460</v>
      </c>
      <c r="B3450" s="6" t="s">
        <v>4</v>
      </c>
      <c r="C3450" s="6" t="s">
        <v>4</v>
      </c>
      <c r="D3450" s="4" t="s">
        <v>4</v>
      </c>
      <c r="E3450" s="5">
        <f>SUM(E3441:E3448)</f>
        <v>408404.28690000001</v>
      </c>
    </row>
    <row r="3451" spans="1:6" hidden="1" x14ac:dyDescent="0.25"/>
    <row r="3452" spans="1:6" hidden="1" x14ac:dyDescent="0.25">
      <c r="A3452" s="6" t="s">
        <v>1461</v>
      </c>
    </row>
    <row r="3453" spans="1:6" hidden="1" x14ac:dyDescent="0.25">
      <c r="A3453" s="6" t="s">
        <v>12</v>
      </c>
    </row>
    <row r="3454" spans="1:6" hidden="1" x14ac:dyDescent="0.25">
      <c r="A3454" s="6" t="s">
        <v>1462</v>
      </c>
      <c r="B3454" s="6" t="s">
        <v>14</v>
      </c>
      <c r="D3454" s="4" t="s">
        <v>15</v>
      </c>
      <c r="E3454" s="5">
        <v>0</v>
      </c>
    </row>
    <row r="3455" spans="1:6" hidden="1" x14ac:dyDescent="0.25">
      <c r="A3455" s="6" t="s">
        <v>1462</v>
      </c>
      <c r="B3455" s="6" t="s">
        <v>17</v>
      </c>
      <c r="D3455" s="4" t="s">
        <v>18</v>
      </c>
      <c r="E3455" s="5">
        <f>E3454*B3801</f>
        <v>0</v>
      </c>
    </row>
    <row r="3456" spans="1:6" hidden="1" x14ac:dyDescent="0.25">
      <c r="A3456" s="6" t="s">
        <v>1462</v>
      </c>
      <c r="B3456" s="6" t="s">
        <v>19</v>
      </c>
      <c r="D3456" s="4" t="s">
        <v>20</v>
      </c>
      <c r="E3456" s="5">
        <f>E3454*B3802</f>
        <v>0</v>
      </c>
    </row>
    <row r="3457" spans="1:5" hidden="1" x14ac:dyDescent="0.25">
      <c r="A3457" s="6" t="s">
        <v>1462</v>
      </c>
      <c r="B3457" s="6" t="s">
        <v>21</v>
      </c>
      <c r="D3457" s="4" t="s">
        <v>22</v>
      </c>
      <c r="E3457" s="5">
        <f>E3454*B3803</f>
        <v>0</v>
      </c>
    </row>
    <row r="3458" spans="1:5" hidden="1" x14ac:dyDescent="0.25"/>
    <row r="3459" spans="1:5" hidden="1" x14ac:dyDescent="0.25">
      <c r="A3459" s="6" t="s">
        <v>1463</v>
      </c>
      <c r="B3459" s="6" t="s">
        <v>4</v>
      </c>
      <c r="C3459" s="6" t="s">
        <v>4</v>
      </c>
      <c r="D3459" s="4" t="s">
        <v>4</v>
      </c>
      <c r="E3459" s="5">
        <f>SUM(E3454:E3457)</f>
        <v>0</v>
      </c>
    </row>
    <row r="3460" spans="1:5" hidden="1" x14ac:dyDescent="0.25"/>
    <row r="3461" spans="1:5" hidden="1" x14ac:dyDescent="0.25">
      <c r="A3461" s="6" t="s">
        <v>1464</v>
      </c>
    </row>
    <row r="3462" spans="1:5" hidden="1" x14ac:dyDescent="0.25">
      <c r="A3462" s="6" t="s">
        <v>12</v>
      </c>
    </row>
    <row r="3463" spans="1:5" hidden="1" x14ac:dyDescent="0.25">
      <c r="A3463" s="6" t="s">
        <v>1465</v>
      </c>
      <c r="B3463" s="6" t="s">
        <v>719</v>
      </c>
      <c r="D3463" s="4" t="s">
        <v>720</v>
      </c>
      <c r="E3463" s="5">
        <v>0</v>
      </c>
    </row>
    <row r="3464" spans="1:5" hidden="1" x14ac:dyDescent="0.25"/>
    <row r="3465" spans="1:5" hidden="1" x14ac:dyDescent="0.25">
      <c r="A3465" s="6" t="s">
        <v>721</v>
      </c>
      <c r="B3465" s="6" t="s">
        <v>4</v>
      </c>
      <c r="C3465" s="6" t="s">
        <v>4</v>
      </c>
      <c r="D3465" s="4" t="s">
        <v>4</v>
      </c>
      <c r="E3465" s="5">
        <f>E3463</f>
        <v>0</v>
      </c>
    </row>
    <row r="3466" spans="1:5" x14ac:dyDescent="0.25">
      <c r="A3466" s="6"/>
      <c r="B3466" s="6"/>
      <c r="C3466" s="6"/>
    </row>
    <row r="3467" spans="1:5" x14ac:dyDescent="0.25">
      <c r="A3467" s="6" t="s">
        <v>1466</v>
      </c>
      <c r="B3467" s="6"/>
      <c r="C3467" s="6"/>
    </row>
    <row r="3468" spans="1:5" x14ac:dyDescent="0.25">
      <c r="A3468" s="6"/>
      <c r="B3468" s="6"/>
      <c r="C3468" s="6"/>
    </row>
    <row r="3469" spans="1:5" x14ac:dyDescent="0.25">
      <c r="A3469" s="6" t="s">
        <v>1467</v>
      </c>
      <c r="B3469" s="11" t="s">
        <v>53</v>
      </c>
      <c r="C3469" s="6"/>
      <c r="D3469" s="4" t="s">
        <v>54</v>
      </c>
      <c r="E3469" s="5">
        <v>110126</v>
      </c>
    </row>
    <row r="3470" spans="1:5" x14ac:dyDescent="0.25">
      <c r="A3470" s="6" t="s">
        <v>1467</v>
      </c>
      <c r="B3470" s="11" t="s">
        <v>14</v>
      </c>
      <c r="C3470" s="6"/>
      <c r="D3470" s="4" t="s">
        <v>15</v>
      </c>
      <c r="E3470" s="5">
        <v>0</v>
      </c>
    </row>
    <row r="3471" spans="1:5" x14ac:dyDescent="0.25">
      <c r="A3471" s="6" t="s">
        <v>1467</v>
      </c>
      <c r="B3471" s="6" t="s">
        <v>19</v>
      </c>
      <c r="C3471" s="6"/>
      <c r="D3471" s="4" t="s">
        <v>20</v>
      </c>
      <c r="E3471" s="5">
        <f>E3469*B3802</f>
        <v>1596.827</v>
      </c>
    </row>
    <row r="3472" spans="1:5" x14ac:dyDescent="0.25">
      <c r="A3472" s="6" t="s">
        <v>1467</v>
      </c>
      <c r="B3472" s="11" t="s">
        <v>40</v>
      </c>
      <c r="C3472" s="6"/>
      <c r="D3472" s="4" t="s">
        <v>60</v>
      </c>
      <c r="E3472" s="5">
        <f>E3469*B3799</f>
        <v>3303.7799999999997</v>
      </c>
    </row>
    <row r="3473" spans="1:6" x14ac:dyDescent="0.25">
      <c r="A3473" s="6"/>
      <c r="B3473" s="6"/>
      <c r="C3473" s="6"/>
    </row>
    <row r="3474" spans="1:6" x14ac:dyDescent="0.25">
      <c r="A3474" s="6" t="s">
        <v>1468</v>
      </c>
      <c r="B3474" s="6"/>
      <c r="C3474" s="6"/>
      <c r="E3474" s="5">
        <f>SUM(E3469:E3472)</f>
        <v>115026.607</v>
      </c>
    </row>
    <row r="3476" spans="1:6" x14ac:dyDescent="0.25">
      <c r="A3476" s="6" t="s">
        <v>1469</v>
      </c>
    </row>
    <row r="3477" spans="1:6" x14ac:dyDescent="0.25">
      <c r="A3477" s="6" t="s">
        <v>12</v>
      </c>
    </row>
    <row r="3478" spans="1:6" x14ac:dyDescent="0.25">
      <c r="A3478" s="6" t="s">
        <v>1470</v>
      </c>
      <c r="B3478" s="12" t="s">
        <v>53</v>
      </c>
      <c r="D3478" s="4" t="s">
        <v>54</v>
      </c>
      <c r="E3478" s="5">
        <f>60399-60399</f>
        <v>0</v>
      </c>
    </row>
    <row r="3479" spans="1:6" x14ac:dyDescent="0.25">
      <c r="A3479" s="6" t="s">
        <v>1470</v>
      </c>
      <c r="B3479" s="12" t="s">
        <v>55</v>
      </c>
      <c r="D3479" s="4" t="s">
        <v>56</v>
      </c>
      <c r="E3479" s="5">
        <v>5086</v>
      </c>
    </row>
    <row r="3480" spans="1:6" x14ac:dyDescent="0.25">
      <c r="A3480" s="6" t="s">
        <v>1470</v>
      </c>
      <c r="B3480" s="12" t="s">
        <v>32</v>
      </c>
      <c r="D3480" s="4" t="s">
        <v>33</v>
      </c>
      <c r="E3480" s="5">
        <f>17411.65-13211.65+5000</f>
        <v>9200.0000000000018</v>
      </c>
    </row>
    <row r="3481" spans="1:6" x14ac:dyDescent="0.25">
      <c r="A3481" s="6" t="s">
        <v>1470</v>
      </c>
      <c r="B3481" s="11" t="s">
        <v>34</v>
      </c>
      <c r="D3481" s="4" t="s">
        <v>56</v>
      </c>
      <c r="E3481" s="5">
        <f>2000+3000+7000</f>
        <v>12000</v>
      </c>
      <c r="F3481" s="4" t="s">
        <v>1403</v>
      </c>
    </row>
    <row r="3482" spans="1:6" x14ac:dyDescent="0.25">
      <c r="A3482" s="6" t="s">
        <v>1470</v>
      </c>
      <c r="B3482" s="6" t="s">
        <v>32</v>
      </c>
      <c r="D3482" s="4" t="s">
        <v>33</v>
      </c>
      <c r="E3482" s="5">
        <f>5000+1000</f>
        <v>6000</v>
      </c>
    </row>
    <row r="3483" spans="1:6" x14ac:dyDescent="0.25">
      <c r="A3483" s="6" t="s">
        <v>1470</v>
      </c>
      <c r="B3483" s="6" t="s">
        <v>254</v>
      </c>
      <c r="D3483" s="4" t="s">
        <v>255</v>
      </c>
      <c r="E3483" s="5">
        <f>45000+25000</f>
        <v>70000</v>
      </c>
    </row>
    <row r="3484" spans="1:6" x14ac:dyDescent="0.25">
      <c r="A3484" s="6" t="s">
        <v>1470</v>
      </c>
      <c r="B3484" s="11" t="s">
        <v>14</v>
      </c>
      <c r="D3484" s="4" t="s">
        <v>15</v>
      </c>
      <c r="E3484" s="5">
        <v>9098</v>
      </c>
    </row>
    <row r="3485" spans="1:6" x14ac:dyDescent="0.25">
      <c r="A3485" s="6" t="s">
        <v>1470</v>
      </c>
      <c r="B3485" s="6" t="s">
        <v>25</v>
      </c>
      <c r="D3485" s="4" t="s">
        <v>58</v>
      </c>
      <c r="E3485" s="5">
        <f>1500+7000+1000</f>
        <v>9500</v>
      </c>
    </row>
    <row r="3486" spans="1:6" x14ac:dyDescent="0.25">
      <c r="A3486" s="6" t="s">
        <v>1470</v>
      </c>
      <c r="B3486" s="11" t="s">
        <v>648</v>
      </c>
      <c r="D3486" s="4" t="s">
        <v>58</v>
      </c>
      <c r="E3486" s="5">
        <f>6*15*34</f>
        <v>3060</v>
      </c>
      <c r="F3486" s="4" t="s">
        <v>1185</v>
      </c>
    </row>
    <row r="3487" spans="1:6" x14ac:dyDescent="0.25">
      <c r="A3487" s="6" t="s">
        <v>1470</v>
      </c>
      <c r="B3487" s="11" t="s">
        <v>36</v>
      </c>
      <c r="D3487" s="4" t="s">
        <v>727</v>
      </c>
      <c r="E3487" s="5">
        <v>350</v>
      </c>
    </row>
    <row r="3488" spans="1:6" x14ac:dyDescent="0.25">
      <c r="A3488" s="6" t="s">
        <v>1470</v>
      </c>
      <c r="B3488" s="6" t="s">
        <v>17</v>
      </c>
      <c r="D3488" s="4" t="s">
        <v>18</v>
      </c>
      <c r="E3488" s="5">
        <f>SUM(E3484:E3487)*B3801</f>
        <v>1364.4960000000001</v>
      </c>
      <c r="F3488" s="4" t="s">
        <v>4</v>
      </c>
    </row>
    <row r="3489" spans="1:6" x14ac:dyDescent="0.25">
      <c r="A3489" s="6" t="s">
        <v>1470</v>
      </c>
      <c r="B3489" s="6" t="s">
        <v>19</v>
      </c>
      <c r="D3489" s="4" t="s">
        <v>20</v>
      </c>
      <c r="E3489" s="5">
        <f>SUM(E3478:E3487)*B3802</f>
        <v>1802.2630000000001</v>
      </c>
      <c r="F3489" s="4" t="s">
        <v>4</v>
      </c>
    </row>
    <row r="3490" spans="1:6" x14ac:dyDescent="0.25">
      <c r="A3490" s="6" t="s">
        <v>1470</v>
      </c>
      <c r="B3490" s="11" t="s">
        <v>40</v>
      </c>
      <c r="D3490" s="4" t="s">
        <v>41</v>
      </c>
      <c r="E3490" s="5">
        <f>SUM(E3478:E3483)*B3799-0.25</f>
        <v>3068.33</v>
      </c>
    </row>
    <row r="3491" spans="1:6" x14ac:dyDescent="0.25">
      <c r="A3491" s="6" t="s">
        <v>1470</v>
      </c>
      <c r="B3491" s="6" t="s">
        <v>21</v>
      </c>
      <c r="D3491" s="4" t="s">
        <v>22</v>
      </c>
      <c r="E3491" s="5">
        <f>SUM(E3484:E3487)*B3803</f>
        <v>5136.6671999999999</v>
      </c>
      <c r="F3491" s="4" t="s">
        <v>4</v>
      </c>
    </row>
    <row r="3492" spans="1:6" x14ac:dyDescent="0.25">
      <c r="A3492" s="6" t="s">
        <v>1470</v>
      </c>
      <c r="B3492" s="11" t="s">
        <v>736</v>
      </c>
      <c r="D3492" s="4" t="s">
        <v>737</v>
      </c>
      <c r="E3492" s="5">
        <v>1820</v>
      </c>
    </row>
    <row r="3493" spans="1:6" x14ac:dyDescent="0.25">
      <c r="A3493" s="6" t="s">
        <v>1470</v>
      </c>
      <c r="B3493" s="11" t="s">
        <v>175</v>
      </c>
      <c r="D3493" s="4" t="s">
        <v>1471</v>
      </c>
      <c r="E3493" s="5">
        <f>29450-29450</f>
        <v>0</v>
      </c>
    </row>
    <row r="3494" spans="1:6" x14ac:dyDescent="0.25">
      <c r="A3494" s="6" t="s">
        <v>1470</v>
      </c>
      <c r="B3494" s="11" t="s">
        <v>46</v>
      </c>
      <c r="D3494" s="4" t="s">
        <v>93</v>
      </c>
      <c r="E3494" s="5">
        <v>22867</v>
      </c>
    </row>
    <row r="3495" spans="1:6" x14ac:dyDescent="0.25">
      <c r="A3495" s="6" t="s">
        <v>1470</v>
      </c>
      <c r="B3495" s="11" t="s">
        <v>131</v>
      </c>
      <c r="D3495" s="4" t="s">
        <v>132</v>
      </c>
      <c r="E3495" s="5">
        <f>8295+4025</f>
        <v>12320</v>
      </c>
    </row>
    <row r="3497" spans="1:6" x14ac:dyDescent="0.25">
      <c r="A3497" s="6" t="s">
        <v>1472</v>
      </c>
      <c r="B3497" s="6" t="s">
        <v>4</v>
      </c>
      <c r="C3497" s="6" t="s">
        <v>4</v>
      </c>
      <c r="D3497" s="4" t="s">
        <v>4</v>
      </c>
      <c r="E3497" s="5">
        <f>SUM(E3478:E3495)</f>
        <v>172672.7562</v>
      </c>
    </row>
    <row r="3499" spans="1:6" x14ac:dyDescent="0.25">
      <c r="A3499" s="6" t="s">
        <v>1473</v>
      </c>
    </row>
    <row r="3500" spans="1:6" x14ac:dyDescent="0.25">
      <c r="A3500" s="6" t="s">
        <v>12</v>
      </c>
    </row>
    <row r="3501" spans="1:6" x14ac:dyDescent="0.25">
      <c r="A3501" s="6" t="s">
        <v>1474</v>
      </c>
      <c r="B3501" s="6" t="s">
        <v>46</v>
      </c>
      <c r="D3501" s="4" t="s">
        <v>47</v>
      </c>
      <c r="E3501" s="5">
        <f>1000-500</f>
        <v>500</v>
      </c>
    </row>
    <row r="3502" spans="1:6" x14ac:dyDescent="0.25">
      <c r="A3502" s="6" t="s">
        <v>1474</v>
      </c>
      <c r="B3502" s="11" t="s">
        <v>94</v>
      </c>
      <c r="D3502" s="4" t="s">
        <v>1261</v>
      </c>
      <c r="E3502" s="5">
        <v>0</v>
      </c>
    </row>
    <row r="3504" spans="1:6" x14ac:dyDescent="0.25">
      <c r="A3504" s="6" t="s">
        <v>1475</v>
      </c>
      <c r="B3504" s="6" t="s">
        <v>4</v>
      </c>
      <c r="C3504" s="6" t="s">
        <v>4</v>
      </c>
      <c r="D3504" s="4" t="s">
        <v>4</v>
      </c>
      <c r="E3504" s="5">
        <f>E3501+E3502</f>
        <v>500</v>
      </c>
    </row>
    <row r="3506" spans="1:5" x14ac:dyDescent="0.25">
      <c r="A3506" s="6" t="s">
        <v>1476</v>
      </c>
    </row>
    <row r="3507" spans="1:5" x14ac:dyDescent="0.25">
      <c r="A3507" s="6" t="s">
        <v>12</v>
      </c>
    </row>
    <row r="3508" spans="1:5" x14ac:dyDescent="0.25">
      <c r="A3508" s="6" t="s">
        <v>1477</v>
      </c>
      <c r="B3508" s="6" t="s">
        <v>32</v>
      </c>
      <c r="D3508" s="4" t="s">
        <v>33</v>
      </c>
      <c r="E3508" s="5">
        <f>850+550+1100-1000</f>
        <v>1500</v>
      </c>
    </row>
    <row r="3509" spans="1:5" x14ac:dyDescent="0.25">
      <c r="A3509" s="6" t="s">
        <v>1477</v>
      </c>
      <c r="B3509" s="6" t="s">
        <v>25</v>
      </c>
      <c r="D3509" s="4" t="s">
        <v>58</v>
      </c>
      <c r="E3509" s="5">
        <f>1100+1100-1100+1000</f>
        <v>2100</v>
      </c>
    </row>
    <row r="3510" spans="1:5" x14ac:dyDescent="0.25">
      <c r="A3510" s="6" t="s">
        <v>1477</v>
      </c>
      <c r="B3510" s="11" t="s">
        <v>38</v>
      </c>
      <c r="D3510" s="4" t="s">
        <v>1478</v>
      </c>
      <c r="E3510" s="5">
        <f>1100-1100</f>
        <v>0</v>
      </c>
    </row>
    <row r="3511" spans="1:5" x14ac:dyDescent="0.25">
      <c r="A3511" s="6" t="s">
        <v>1477</v>
      </c>
      <c r="B3511" s="6" t="s">
        <v>17</v>
      </c>
      <c r="D3511" s="4" t="s">
        <v>18</v>
      </c>
      <c r="E3511" s="5">
        <f>(E3509+E3510)*B3801</f>
        <v>130.19999999999999</v>
      </c>
    </row>
    <row r="3512" spans="1:5" x14ac:dyDescent="0.25">
      <c r="A3512" s="6" t="s">
        <v>1477</v>
      </c>
      <c r="B3512" s="6" t="s">
        <v>19</v>
      </c>
      <c r="D3512" s="4" t="s">
        <v>20</v>
      </c>
      <c r="E3512" s="5">
        <f>SUM(E3508:E3510)*B3802</f>
        <v>52.2</v>
      </c>
    </row>
    <row r="3513" spans="1:5" x14ac:dyDescent="0.25">
      <c r="A3513" s="6" t="s">
        <v>1477</v>
      </c>
      <c r="B3513" s="11" t="s">
        <v>40</v>
      </c>
      <c r="D3513" s="4" t="s">
        <v>41</v>
      </c>
      <c r="E3513" s="5">
        <f>E3508*B3799</f>
        <v>45</v>
      </c>
    </row>
    <row r="3514" spans="1:5" x14ac:dyDescent="0.25">
      <c r="A3514" s="6" t="s">
        <v>1477</v>
      </c>
      <c r="B3514" s="6" t="s">
        <v>21</v>
      </c>
      <c r="D3514" s="4" t="s">
        <v>22</v>
      </c>
      <c r="E3514" s="5">
        <f>(E3509+E3510)*B3803</f>
        <v>490.14</v>
      </c>
    </row>
    <row r="3516" spans="1:5" x14ac:dyDescent="0.25">
      <c r="A3516" s="6" t="s">
        <v>1479</v>
      </c>
      <c r="B3516" s="6" t="s">
        <v>4</v>
      </c>
      <c r="C3516" s="6" t="s">
        <v>4</v>
      </c>
      <c r="D3516" s="4" t="s">
        <v>4</v>
      </c>
      <c r="E3516" s="5">
        <f>SUM(E3508:E3514)</f>
        <v>4317.54</v>
      </c>
    </row>
    <row r="3518" spans="1:5" x14ac:dyDescent="0.25">
      <c r="A3518" s="6" t="s">
        <v>1480</v>
      </c>
    </row>
    <row r="3519" spans="1:5" x14ac:dyDescent="0.25">
      <c r="A3519" s="6" t="s">
        <v>12</v>
      </c>
    </row>
    <row r="3520" spans="1:5" x14ac:dyDescent="0.25">
      <c r="A3520" s="6" t="s">
        <v>1481</v>
      </c>
      <c r="B3520" s="6" t="s">
        <v>55</v>
      </c>
      <c r="D3520" s="4" t="s">
        <v>56</v>
      </c>
      <c r="E3520" s="5">
        <v>4097</v>
      </c>
    </row>
    <row r="3521" spans="1:5" x14ac:dyDescent="0.25">
      <c r="A3521" s="6" t="s">
        <v>1481</v>
      </c>
      <c r="B3521" s="6" t="s">
        <v>32</v>
      </c>
      <c r="D3521" s="4" t="s">
        <v>33</v>
      </c>
      <c r="E3521" s="5">
        <v>7273</v>
      </c>
    </row>
    <row r="3522" spans="1:5" x14ac:dyDescent="0.25">
      <c r="A3522" s="6" t="s">
        <v>1481</v>
      </c>
      <c r="B3522" s="6" t="s">
        <v>19</v>
      </c>
      <c r="D3522" s="4" t="s">
        <v>20</v>
      </c>
      <c r="E3522" s="5">
        <f>SUM(E3520:E3521)*B3798</f>
        <v>164.86500000000001</v>
      </c>
    </row>
    <row r="3523" spans="1:5" x14ac:dyDescent="0.25">
      <c r="A3523" s="6" t="s">
        <v>1481</v>
      </c>
      <c r="B3523" s="11" t="s">
        <v>40</v>
      </c>
      <c r="D3523" s="4" t="s">
        <v>41</v>
      </c>
      <c r="E3523" s="5">
        <f>SUM(E3520:E3521)*B3799</f>
        <v>341.09999999999997</v>
      </c>
    </row>
    <row r="3525" spans="1:5" x14ac:dyDescent="0.25">
      <c r="A3525" s="6" t="s">
        <v>1482</v>
      </c>
      <c r="B3525" s="6" t="s">
        <v>4</v>
      </c>
      <c r="C3525" s="6" t="s">
        <v>4</v>
      </c>
      <c r="D3525" s="4" t="s">
        <v>4</v>
      </c>
      <c r="E3525" s="5">
        <f>SUM(E3520:E3523)</f>
        <v>11875.965</v>
      </c>
    </row>
    <row r="3526" spans="1:5" hidden="1" x14ac:dyDescent="0.25"/>
    <row r="3527" spans="1:5" hidden="1" x14ac:dyDescent="0.25">
      <c r="A3527" s="6" t="s">
        <v>1483</v>
      </c>
    </row>
    <row r="3528" spans="1:5" hidden="1" x14ac:dyDescent="0.25">
      <c r="A3528" s="6" t="s">
        <v>12</v>
      </c>
    </row>
    <row r="3529" spans="1:5" hidden="1" x14ac:dyDescent="0.25">
      <c r="A3529" s="6" t="s">
        <v>1484</v>
      </c>
      <c r="B3529" s="6" t="s">
        <v>55</v>
      </c>
      <c r="D3529" s="4" t="s">
        <v>56</v>
      </c>
      <c r="E3529" s="5">
        <v>0</v>
      </c>
    </row>
    <row r="3530" spans="1:5" hidden="1" x14ac:dyDescent="0.25">
      <c r="A3530" s="6" t="s">
        <v>1484</v>
      </c>
      <c r="B3530" s="6" t="s">
        <v>19</v>
      </c>
      <c r="D3530" s="4" t="s">
        <v>20</v>
      </c>
      <c r="E3530" s="5">
        <f>E3529*B3798</f>
        <v>0</v>
      </c>
    </row>
    <row r="3531" spans="1:5" hidden="1" x14ac:dyDescent="0.25">
      <c r="A3531" s="6" t="s">
        <v>1484</v>
      </c>
      <c r="B3531" s="11" t="s">
        <v>40</v>
      </c>
      <c r="D3531" s="4" t="s">
        <v>41</v>
      </c>
      <c r="E3531" s="5">
        <f>E3529*B3799</f>
        <v>0</v>
      </c>
    </row>
    <row r="3532" spans="1:5" hidden="1" x14ac:dyDescent="0.25"/>
    <row r="3533" spans="1:5" hidden="1" x14ac:dyDescent="0.25">
      <c r="A3533" s="6" t="s">
        <v>1271</v>
      </c>
      <c r="B3533" s="6" t="s">
        <v>4</v>
      </c>
      <c r="C3533" s="6" t="s">
        <v>4</v>
      </c>
      <c r="D3533" s="4" t="s">
        <v>4</v>
      </c>
      <c r="E3533" s="5">
        <f>SUM(E3529:E3531)</f>
        <v>0</v>
      </c>
    </row>
    <row r="3535" spans="1:5" x14ac:dyDescent="0.25">
      <c r="A3535" s="6" t="s">
        <v>1485</v>
      </c>
    </row>
    <row r="3536" spans="1:5" x14ac:dyDescent="0.25">
      <c r="A3536" s="6" t="s">
        <v>12</v>
      </c>
    </row>
    <row r="3537" spans="1:5" x14ac:dyDescent="0.25">
      <c r="A3537" s="6" t="s">
        <v>1486</v>
      </c>
      <c r="B3537" s="11" t="s">
        <v>55</v>
      </c>
      <c r="D3537" s="4" t="s">
        <v>56</v>
      </c>
      <c r="E3537" s="5">
        <v>25794</v>
      </c>
    </row>
    <row r="3538" spans="1:5" x14ac:dyDescent="0.25">
      <c r="A3538" s="6" t="s">
        <v>1486</v>
      </c>
      <c r="B3538" s="6" t="s">
        <v>32</v>
      </c>
      <c r="D3538" s="4" t="s">
        <v>33</v>
      </c>
      <c r="E3538" s="5">
        <v>22356</v>
      </c>
    </row>
    <row r="3539" spans="1:5" x14ac:dyDescent="0.25">
      <c r="A3539" s="6" t="s">
        <v>1486</v>
      </c>
      <c r="B3539" s="11" t="s">
        <v>14</v>
      </c>
      <c r="D3539" s="4" t="s">
        <v>15</v>
      </c>
      <c r="E3539" s="5">
        <v>8359</v>
      </c>
    </row>
    <row r="3540" spans="1:5" x14ac:dyDescent="0.25">
      <c r="A3540" s="6" t="s">
        <v>1486</v>
      </c>
      <c r="B3540" s="11" t="s">
        <v>17</v>
      </c>
      <c r="D3540" s="4" t="s">
        <v>18</v>
      </c>
      <c r="E3540" s="5">
        <f>E3539*B3801</f>
        <v>518.25800000000004</v>
      </c>
    </row>
    <row r="3541" spans="1:5" x14ac:dyDescent="0.25">
      <c r="A3541" s="6" t="s">
        <v>1486</v>
      </c>
      <c r="B3541" s="6" t="s">
        <v>19</v>
      </c>
      <c r="D3541" s="4" t="s">
        <v>20</v>
      </c>
      <c r="E3541" s="5">
        <f>SUM(E3537:E3538)*B3798</f>
        <v>698.17500000000007</v>
      </c>
    </row>
    <row r="3542" spans="1:5" x14ac:dyDescent="0.25">
      <c r="A3542" s="6" t="s">
        <v>1486</v>
      </c>
      <c r="B3542" s="6" t="s">
        <v>40</v>
      </c>
      <c r="D3542" s="4" t="s">
        <v>60</v>
      </c>
      <c r="E3542" s="5">
        <f>SUM(E3537:E3538)*B3799</f>
        <v>1444.5</v>
      </c>
    </row>
    <row r="3543" spans="1:5" x14ac:dyDescent="0.25">
      <c r="A3543" s="6" t="s">
        <v>1486</v>
      </c>
      <c r="B3543" s="11" t="s">
        <v>21</v>
      </c>
      <c r="D3543" s="4" t="s">
        <v>22</v>
      </c>
      <c r="E3543" s="5">
        <f>E3539*B3803</f>
        <v>1950.9905999999999</v>
      </c>
    </row>
    <row r="3545" spans="1:5" x14ac:dyDescent="0.25">
      <c r="A3545" s="6" t="s">
        <v>1487</v>
      </c>
      <c r="B3545" s="6" t="s">
        <v>4</v>
      </c>
      <c r="C3545" s="6" t="s">
        <v>4</v>
      </c>
      <c r="D3545" s="4" t="s">
        <v>4</v>
      </c>
      <c r="E3545" s="5">
        <f>SUM(E3537:E3543)</f>
        <v>61120.923600000002</v>
      </c>
    </row>
    <row r="3547" spans="1:5" x14ac:dyDescent="0.25">
      <c r="A3547" s="6" t="s">
        <v>1488</v>
      </c>
    </row>
    <row r="3548" spans="1:5" x14ac:dyDescent="0.25">
      <c r="A3548" s="6" t="s">
        <v>12</v>
      </c>
    </row>
    <row r="3549" spans="1:5" x14ac:dyDescent="0.25">
      <c r="A3549" s="6" t="s">
        <v>1489</v>
      </c>
      <c r="B3549" s="12" t="s">
        <v>159</v>
      </c>
      <c r="D3549" s="4" t="s">
        <v>371</v>
      </c>
      <c r="E3549" s="5">
        <f>800-800</f>
        <v>0</v>
      </c>
    </row>
    <row r="3550" spans="1:5" x14ac:dyDescent="0.25">
      <c r="A3550" s="6" t="s">
        <v>1489</v>
      </c>
      <c r="B3550" s="12" t="s">
        <v>44</v>
      </c>
      <c r="D3550" s="4" t="s">
        <v>45</v>
      </c>
      <c r="E3550" s="5">
        <f>5000+1520</f>
        <v>6520</v>
      </c>
    </row>
    <row r="3551" spans="1:5" x14ac:dyDescent="0.25">
      <c r="A3551" s="6" t="s">
        <v>1489</v>
      </c>
      <c r="B3551" s="6" t="s">
        <v>161</v>
      </c>
      <c r="D3551" s="4" t="s">
        <v>162</v>
      </c>
      <c r="E3551" s="5">
        <f>10000+1000+500</f>
        <v>11500</v>
      </c>
    </row>
    <row r="3552" spans="1:5" x14ac:dyDescent="0.25">
      <c r="A3552" s="6" t="s">
        <v>1489</v>
      </c>
      <c r="B3552" s="6" t="s">
        <v>167</v>
      </c>
      <c r="D3552" s="4" t="s">
        <v>537</v>
      </c>
      <c r="E3552" s="5">
        <v>5000</v>
      </c>
    </row>
    <row r="3553" spans="1:5" x14ac:dyDescent="0.25">
      <c r="A3553" s="6" t="s">
        <v>1489</v>
      </c>
      <c r="B3553" s="11" t="s">
        <v>169</v>
      </c>
      <c r="D3553" s="4" t="s">
        <v>170</v>
      </c>
      <c r="E3553" s="5">
        <v>2000</v>
      </c>
    </row>
    <row r="3554" spans="1:5" x14ac:dyDescent="0.25">
      <c r="A3554" s="6" t="s">
        <v>1489</v>
      </c>
      <c r="B3554" s="11" t="s">
        <v>171</v>
      </c>
      <c r="D3554" s="4" t="s">
        <v>172</v>
      </c>
      <c r="E3554" s="5">
        <v>7000</v>
      </c>
    </row>
    <row r="3555" spans="1:5" x14ac:dyDescent="0.25">
      <c r="A3555" s="6" t="s">
        <v>1489</v>
      </c>
      <c r="B3555" s="11" t="s">
        <v>173</v>
      </c>
      <c r="D3555" s="4" t="s">
        <v>538</v>
      </c>
      <c r="E3555" s="5">
        <v>6000</v>
      </c>
    </row>
    <row r="3556" spans="1:5" x14ac:dyDescent="0.25">
      <c r="A3556" s="6" t="s">
        <v>1489</v>
      </c>
      <c r="B3556" s="11" t="s">
        <v>1032</v>
      </c>
      <c r="D3556" s="4" t="s">
        <v>1490</v>
      </c>
      <c r="E3556" s="5">
        <v>250</v>
      </c>
    </row>
    <row r="3557" spans="1:5" x14ac:dyDescent="0.25">
      <c r="A3557" s="6" t="s">
        <v>1489</v>
      </c>
      <c r="B3557" s="11" t="s">
        <v>175</v>
      </c>
      <c r="D3557" s="4" t="s">
        <v>1347</v>
      </c>
      <c r="E3557" s="5">
        <v>2000</v>
      </c>
    </row>
    <row r="3558" spans="1:5" x14ac:dyDescent="0.25">
      <c r="A3558" s="6" t="s">
        <v>1489</v>
      </c>
      <c r="B3558" s="6" t="s">
        <v>46</v>
      </c>
      <c r="D3558" s="4" t="s">
        <v>47</v>
      </c>
      <c r="E3558" s="5">
        <v>20000</v>
      </c>
    </row>
    <row r="3559" spans="1:5" x14ac:dyDescent="0.25">
      <c r="A3559" s="6" t="s">
        <v>1489</v>
      </c>
      <c r="B3559" s="6" t="s">
        <v>177</v>
      </c>
      <c r="D3559" s="4" t="s">
        <v>178</v>
      </c>
      <c r="E3559" s="5">
        <f>10000+16000-5000</f>
        <v>21000</v>
      </c>
    </row>
    <row r="3560" spans="1:5" x14ac:dyDescent="0.25">
      <c r="A3560" s="6" t="s">
        <v>1489</v>
      </c>
      <c r="B3560" s="6" t="s">
        <v>179</v>
      </c>
      <c r="D3560" s="4" t="s">
        <v>180</v>
      </c>
      <c r="E3560" s="5">
        <v>65000</v>
      </c>
    </row>
    <row r="3561" spans="1:5" x14ac:dyDescent="0.25">
      <c r="A3561" s="6" t="s">
        <v>1489</v>
      </c>
      <c r="B3561" s="11" t="s">
        <v>544</v>
      </c>
      <c r="D3561" s="4" t="s">
        <v>545</v>
      </c>
      <c r="E3561" s="5">
        <v>4500</v>
      </c>
    </row>
    <row r="3562" spans="1:5" x14ac:dyDescent="0.25">
      <c r="A3562" s="6" t="s">
        <v>1489</v>
      </c>
      <c r="B3562" s="11" t="s">
        <v>183</v>
      </c>
      <c r="D3562" s="4" t="s">
        <v>1202</v>
      </c>
      <c r="E3562" s="5">
        <v>0</v>
      </c>
    </row>
    <row r="3563" spans="1:5" ht="16.5" customHeight="1" x14ac:dyDescent="0.25">
      <c r="A3563" s="6" t="s">
        <v>1489</v>
      </c>
      <c r="B3563" s="11" t="s">
        <v>112</v>
      </c>
      <c r="D3563" s="4" t="s">
        <v>297</v>
      </c>
      <c r="E3563" s="5">
        <v>0</v>
      </c>
    </row>
    <row r="3564" spans="1:5" ht="16.5" customHeight="1" x14ac:dyDescent="0.25">
      <c r="A3564" s="6" t="s">
        <v>1489</v>
      </c>
      <c r="B3564" s="11" t="s">
        <v>131</v>
      </c>
      <c r="D3564" s="4" t="s">
        <v>132</v>
      </c>
      <c r="E3564" s="5">
        <v>5000</v>
      </c>
    </row>
    <row r="3565" spans="1:5" x14ac:dyDescent="0.25">
      <c r="A3565" s="6" t="s">
        <v>1489</v>
      </c>
      <c r="B3565" s="6" t="s">
        <v>192</v>
      </c>
      <c r="D3565" s="4" t="s">
        <v>546</v>
      </c>
      <c r="E3565" s="5">
        <v>1200</v>
      </c>
    </row>
    <row r="3567" spans="1:5" x14ac:dyDescent="0.25">
      <c r="A3567" s="6" t="s">
        <v>1491</v>
      </c>
      <c r="B3567" s="6" t="s">
        <v>4</v>
      </c>
      <c r="C3567" s="6" t="s">
        <v>4</v>
      </c>
      <c r="D3567" s="4" t="s">
        <v>4</v>
      </c>
      <c r="E3567" s="5">
        <f>SUM(E3549:E3565)</f>
        <v>156970</v>
      </c>
    </row>
    <row r="3569" spans="1:5" x14ac:dyDescent="0.25">
      <c r="A3569" s="6" t="s">
        <v>1492</v>
      </c>
    </row>
    <row r="3570" spans="1:5" x14ac:dyDescent="0.25">
      <c r="A3570" s="6" t="s">
        <v>12</v>
      </c>
    </row>
    <row r="3571" spans="1:5" x14ac:dyDescent="0.25">
      <c r="A3571" s="6" t="s">
        <v>1493</v>
      </c>
      <c r="B3571" s="6" t="s">
        <v>165</v>
      </c>
      <c r="D3571" s="4" t="s">
        <v>550</v>
      </c>
      <c r="E3571" s="5">
        <v>12000</v>
      </c>
    </row>
    <row r="3573" spans="1:5" x14ac:dyDescent="0.25">
      <c r="A3573" s="6" t="s">
        <v>1494</v>
      </c>
      <c r="B3573" s="6" t="s">
        <v>4</v>
      </c>
      <c r="C3573" s="6" t="s">
        <v>4</v>
      </c>
      <c r="D3573" s="4" t="s">
        <v>4</v>
      </c>
      <c r="E3573" s="5">
        <f>E3571</f>
        <v>12000</v>
      </c>
    </row>
    <row r="3575" spans="1:5" x14ac:dyDescent="0.25">
      <c r="A3575" s="6" t="s">
        <v>1495</v>
      </c>
    </row>
    <row r="3576" spans="1:5" x14ac:dyDescent="0.25">
      <c r="A3576" s="6" t="s">
        <v>12</v>
      </c>
    </row>
    <row r="3577" spans="1:5" x14ac:dyDescent="0.25">
      <c r="A3577" s="6" t="s">
        <v>1496</v>
      </c>
      <c r="B3577" s="6" t="s">
        <v>14</v>
      </c>
      <c r="D3577" s="4" t="s">
        <v>15</v>
      </c>
      <c r="E3577" s="5">
        <f>4000-3500</f>
        <v>500</v>
      </c>
    </row>
    <row r="3578" spans="1:5" x14ac:dyDescent="0.25">
      <c r="A3578" s="6" t="s">
        <v>1496</v>
      </c>
      <c r="B3578" s="6" t="s">
        <v>17</v>
      </c>
      <c r="D3578" s="4" t="s">
        <v>18</v>
      </c>
      <c r="E3578" s="5">
        <f>E3577*B3801</f>
        <v>31</v>
      </c>
    </row>
    <row r="3579" spans="1:5" x14ac:dyDescent="0.25">
      <c r="A3579" s="6" t="s">
        <v>1496</v>
      </c>
      <c r="B3579" s="6" t="s">
        <v>19</v>
      </c>
      <c r="D3579" s="4" t="s">
        <v>20</v>
      </c>
      <c r="E3579" s="5">
        <f>E3577*B3802</f>
        <v>7.25</v>
      </c>
    </row>
    <row r="3580" spans="1:5" x14ac:dyDescent="0.25">
      <c r="A3580" s="6" t="s">
        <v>1496</v>
      </c>
      <c r="B3580" s="6" t="s">
        <v>21</v>
      </c>
      <c r="D3580" s="4" t="s">
        <v>22</v>
      </c>
      <c r="E3580" s="5">
        <f>E3577*B3803</f>
        <v>116.7</v>
      </c>
    </row>
    <row r="3582" spans="1:5" x14ac:dyDescent="0.25">
      <c r="A3582" s="6" t="s">
        <v>1497</v>
      </c>
      <c r="B3582" s="6" t="s">
        <v>4</v>
      </c>
      <c r="C3582" s="6" t="s">
        <v>4</v>
      </c>
      <c r="D3582" s="4" t="s">
        <v>4</v>
      </c>
      <c r="E3582" s="5">
        <f>SUM(E3577:E3580)</f>
        <v>654.95000000000005</v>
      </c>
    </row>
    <row r="3584" spans="1:5" x14ac:dyDescent="0.25">
      <c r="A3584" s="6" t="s">
        <v>1498</v>
      </c>
    </row>
    <row r="3585" spans="1:6" x14ac:dyDescent="0.25">
      <c r="A3585" s="6" t="s">
        <v>12</v>
      </c>
    </row>
    <row r="3586" spans="1:6" x14ac:dyDescent="0.25">
      <c r="A3586" s="6" t="s">
        <v>1499</v>
      </c>
      <c r="B3586" s="6" t="s">
        <v>14</v>
      </c>
      <c r="D3586" s="4" t="s">
        <v>15</v>
      </c>
      <c r="E3586" s="5">
        <v>309054</v>
      </c>
    </row>
    <row r="3587" spans="1:6" x14ac:dyDescent="0.25">
      <c r="A3587" s="6" t="s">
        <v>1499</v>
      </c>
      <c r="B3587" s="6" t="s">
        <v>36</v>
      </c>
      <c r="D3587" s="4" t="s">
        <v>157</v>
      </c>
      <c r="E3587" s="5">
        <f>1000+5000</f>
        <v>6000</v>
      </c>
    </row>
    <row r="3588" spans="1:6" x14ac:dyDescent="0.25">
      <c r="A3588" s="6" t="s">
        <v>1499</v>
      </c>
      <c r="B3588" s="11" t="s">
        <v>104</v>
      </c>
      <c r="D3588" s="4" t="s">
        <v>1500</v>
      </c>
      <c r="E3588" s="5">
        <f>500+2000+750</f>
        <v>3250</v>
      </c>
    </row>
    <row r="3589" spans="1:6" x14ac:dyDescent="0.25">
      <c r="A3589" s="6" t="s">
        <v>1499</v>
      </c>
      <c r="B3589" s="6" t="s">
        <v>17</v>
      </c>
      <c r="D3589" s="4" t="s">
        <v>18</v>
      </c>
      <c r="E3589" s="5">
        <f>SUM(E3586:E3588)*B3801</f>
        <v>19734.847999999998</v>
      </c>
    </row>
    <row r="3590" spans="1:6" x14ac:dyDescent="0.25">
      <c r="A3590" s="6" t="s">
        <v>1499</v>
      </c>
      <c r="B3590" s="6" t="s">
        <v>19</v>
      </c>
      <c r="D3590" s="4" t="s">
        <v>20</v>
      </c>
      <c r="E3590" s="5">
        <f>SUM(E3586:E3588)*B3802</f>
        <v>4615.4080000000004</v>
      </c>
    </row>
    <row r="3591" spans="1:6" x14ac:dyDescent="0.25">
      <c r="A3591" s="6" t="s">
        <v>1499</v>
      </c>
      <c r="B3591" s="6" t="s">
        <v>21</v>
      </c>
      <c r="D3591" s="4" t="s">
        <v>22</v>
      </c>
      <c r="E3591" s="5">
        <f>SUM(E3586:E3588)*B3803</f>
        <v>74292.153600000005</v>
      </c>
    </row>
    <row r="3592" spans="1:6" x14ac:dyDescent="0.25">
      <c r="A3592" s="6" t="s">
        <v>1499</v>
      </c>
      <c r="B3592" s="11" t="s">
        <v>1501</v>
      </c>
      <c r="D3592" s="4" t="s">
        <v>1502</v>
      </c>
      <c r="E3592" s="5">
        <f>1000-1000</f>
        <v>0</v>
      </c>
      <c r="F3592" s="4" t="s">
        <v>1503</v>
      </c>
    </row>
    <row r="3594" spans="1:6" x14ac:dyDescent="0.25">
      <c r="A3594" s="6" t="s">
        <v>1504</v>
      </c>
      <c r="B3594" s="6" t="s">
        <v>4</v>
      </c>
      <c r="C3594" s="6" t="s">
        <v>4</v>
      </c>
      <c r="D3594" s="4" t="s">
        <v>4</v>
      </c>
      <c r="E3594" s="5">
        <f>SUM(E3586:E3592)</f>
        <v>416946.40960000001</v>
      </c>
    </row>
    <row r="3596" spans="1:6" x14ac:dyDescent="0.25">
      <c r="A3596" s="6" t="s">
        <v>1505</v>
      </c>
    </row>
    <row r="3597" spans="1:6" x14ac:dyDescent="0.25">
      <c r="A3597" s="6" t="s">
        <v>12</v>
      </c>
    </row>
    <row r="3598" spans="1:6" x14ac:dyDescent="0.25">
      <c r="A3598" s="6" t="s">
        <v>1506</v>
      </c>
      <c r="B3598" s="6" t="s">
        <v>14</v>
      </c>
      <c r="D3598" s="4" t="s">
        <v>15</v>
      </c>
      <c r="E3598" s="5">
        <v>0</v>
      </c>
    </row>
    <row r="3599" spans="1:6" x14ac:dyDescent="0.25">
      <c r="A3599" s="6" t="s">
        <v>1506</v>
      </c>
      <c r="B3599" s="6" t="s">
        <v>36</v>
      </c>
      <c r="D3599" s="4" t="s">
        <v>157</v>
      </c>
      <c r="E3599" s="5">
        <v>0</v>
      </c>
    </row>
    <row r="3600" spans="1:6" x14ac:dyDescent="0.25">
      <c r="A3600" s="6" t="s">
        <v>1506</v>
      </c>
      <c r="B3600" s="6" t="s">
        <v>17</v>
      </c>
      <c r="D3600" s="4" t="s">
        <v>18</v>
      </c>
      <c r="E3600" s="5">
        <f>SUM(E3598:E3599)*B3801</f>
        <v>0</v>
      </c>
    </row>
    <row r="3601" spans="1:5" x14ac:dyDescent="0.25">
      <c r="A3601" s="6" t="s">
        <v>1506</v>
      </c>
      <c r="B3601" s="6" t="s">
        <v>19</v>
      </c>
      <c r="D3601" s="4" t="s">
        <v>20</v>
      </c>
      <c r="E3601" s="5">
        <f>SUM(E3598:E3599)*B3802</f>
        <v>0</v>
      </c>
    </row>
    <row r="3602" spans="1:5" x14ac:dyDescent="0.25">
      <c r="A3602" s="6" t="s">
        <v>1506</v>
      </c>
      <c r="B3602" s="6" t="s">
        <v>21</v>
      </c>
      <c r="D3602" s="4" t="s">
        <v>22</v>
      </c>
      <c r="E3602" s="5">
        <f>SUM(E3598:E3599)*B3803</f>
        <v>0</v>
      </c>
    </row>
    <row r="3603" spans="1:5" x14ac:dyDescent="0.25">
      <c r="A3603" s="6" t="s">
        <v>1506</v>
      </c>
      <c r="B3603" s="11" t="s">
        <v>61</v>
      </c>
      <c r="D3603" s="4" t="s">
        <v>1507</v>
      </c>
      <c r="E3603" s="5">
        <v>450</v>
      </c>
    </row>
    <row r="3604" spans="1:5" x14ac:dyDescent="0.25">
      <c r="A3604" s="6" t="s">
        <v>1506</v>
      </c>
      <c r="B3604" s="11" t="s">
        <v>107</v>
      </c>
      <c r="D3604" s="4" t="s">
        <v>414</v>
      </c>
      <c r="E3604" s="5">
        <v>6500</v>
      </c>
    </row>
    <row r="3605" spans="1:5" x14ac:dyDescent="0.25">
      <c r="A3605" s="6" t="s">
        <v>1506</v>
      </c>
      <c r="B3605" s="11" t="s">
        <v>159</v>
      </c>
      <c r="D3605" s="4" t="s">
        <v>371</v>
      </c>
      <c r="E3605" s="5">
        <v>1500</v>
      </c>
    </row>
    <row r="3606" spans="1:5" x14ac:dyDescent="0.25">
      <c r="A3606" s="6" t="s">
        <v>1506</v>
      </c>
      <c r="B3606" s="11" t="s">
        <v>44</v>
      </c>
      <c r="D3606" s="4" t="s">
        <v>1022</v>
      </c>
      <c r="E3606" s="5">
        <v>200</v>
      </c>
    </row>
    <row r="3607" spans="1:5" x14ac:dyDescent="0.25">
      <c r="A3607" s="6" t="s">
        <v>1506</v>
      </c>
      <c r="B3607" s="11" t="s">
        <v>372</v>
      </c>
      <c r="D3607" s="4" t="s">
        <v>608</v>
      </c>
      <c r="E3607" s="5">
        <v>12000</v>
      </c>
    </row>
    <row r="3608" spans="1:5" x14ac:dyDescent="0.25">
      <c r="A3608" s="6" t="s">
        <v>1506</v>
      </c>
      <c r="B3608" s="6" t="s">
        <v>161</v>
      </c>
      <c r="D3608" s="4" t="s">
        <v>162</v>
      </c>
      <c r="E3608" s="5">
        <f>2000+120+500+225</f>
        <v>2845</v>
      </c>
    </row>
    <row r="3609" spans="1:5" x14ac:dyDescent="0.25">
      <c r="A3609" s="6" t="s">
        <v>1506</v>
      </c>
      <c r="B3609" s="6" t="s">
        <v>1508</v>
      </c>
      <c r="D3609" s="4" t="s">
        <v>1509</v>
      </c>
      <c r="E3609" s="5">
        <v>0</v>
      </c>
    </row>
    <row r="3610" spans="1:5" x14ac:dyDescent="0.25">
      <c r="A3610" s="6" t="s">
        <v>1506</v>
      </c>
      <c r="B3610" s="11" t="s">
        <v>165</v>
      </c>
      <c r="D3610" s="4" t="s">
        <v>1510</v>
      </c>
      <c r="E3610" s="5">
        <f>2500+500+1542</f>
        <v>4542</v>
      </c>
    </row>
    <row r="3611" spans="1:5" x14ac:dyDescent="0.25">
      <c r="A3611" s="6" t="s">
        <v>1506</v>
      </c>
      <c r="B3611" s="6" t="s">
        <v>167</v>
      </c>
      <c r="D3611" s="4" t="s">
        <v>537</v>
      </c>
      <c r="E3611" s="5">
        <f>1300-135</f>
        <v>1165</v>
      </c>
    </row>
    <row r="3612" spans="1:5" x14ac:dyDescent="0.25">
      <c r="A3612" s="6" t="s">
        <v>1506</v>
      </c>
      <c r="B3612" s="11" t="s">
        <v>136</v>
      </c>
      <c r="D3612" s="4" t="s">
        <v>1511</v>
      </c>
      <c r="E3612" s="5">
        <v>1000</v>
      </c>
    </row>
    <row r="3613" spans="1:5" x14ac:dyDescent="0.25">
      <c r="A3613" s="6" t="s">
        <v>1506</v>
      </c>
      <c r="B3613" s="6" t="s">
        <v>171</v>
      </c>
      <c r="D3613" s="4" t="s">
        <v>516</v>
      </c>
      <c r="E3613" s="5">
        <v>12000</v>
      </c>
    </row>
    <row r="3614" spans="1:5" x14ac:dyDescent="0.25">
      <c r="A3614" s="6" t="s">
        <v>1506</v>
      </c>
      <c r="B3614" s="11" t="s">
        <v>173</v>
      </c>
      <c r="D3614" s="4" t="s">
        <v>589</v>
      </c>
      <c r="E3614" s="5">
        <v>8000</v>
      </c>
    </row>
    <row r="3615" spans="1:5" x14ac:dyDescent="0.25">
      <c r="A3615" s="6" t="s">
        <v>1506</v>
      </c>
      <c r="B3615" s="6" t="s">
        <v>64</v>
      </c>
      <c r="D3615" s="4" t="s">
        <v>1512</v>
      </c>
      <c r="E3615" s="5">
        <f>125000+6608.13</f>
        <v>131608.13</v>
      </c>
    </row>
    <row r="3616" spans="1:5" x14ac:dyDescent="0.25">
      <c r="A3616" s="6" t="s">
        <v>1506</v>
      </c>
      <c r="B3616" s="11" t="s">
        <v>542</v>
      </c>
      <c r="D3616" s="4" t="s">
        <v>637</v>
      </c>
      <c r="E3616" s="5">
        <v>300</v>
      </c>
    </row>
    <row r="3617" spans="1:6" x14ac:dyDescent="0.25">
      <c r="A3617" s="6" t="s">
        <v>1506</v>
      </c>
      <c r="B3617" s="6" t="s">
        <v>385</v>
      </c>
      <c r="D3617" s="4" t="s">
        <v>560</v>
      </c>
      <c r="E3617" s="5">
        <v>0</v>
      </c>
    </row>
    <row r="3618" spans="1:6" x14ac:dyDescent="0.25">
      <c r="A3618" s="6" t="s">
        <v>1506</v>
      </c>
      <c r="B3618" s="11" t="s">
        <v>1513</v>
      </c>
      <c r="D3618" s="4" t="s">
        <v>1514</v>
      </c>
      <c r="E3618" s="5">
        <v>100000</v>
      </c>
    </row>
    <row r="3619" spans="1:6" x14ac:dyDescent="0.25">
      <c r="A3619" s="6" t="s">
        <v>1506</v>
      </c>
      <c r="B3619" s="11" t="s">
        <v>88</v>
      </c>
      <c r="D3619" s="4" t="s">
        <v>89</v>
      </c>
      <c r="E3619" s="5">
        <v>150</v>
      </c>
    </row>
    <row r="3620" spans="1:6" x14ac:dyDescent="0.25">
      <c r="A3620" s="6" t="s">
        <v>1506</v>
      </c>
      <c r="B3620" s="11" t="s">
        <v>66</v>
      </c>
      <c r="D3620" s="4" t="s">
        <v>310</v>
      </c>
      <c r="E3620" s="5">
        <v>9000</v>
      </c>
    </row>
    <row r="3621" spans="1:6" x14ac:dyDescent="0.25">
      <c r="A3621" s="6" t="s">
        <v>1506</v>
      </c>
      <c r="B3621" s="11" t="s">
        <v>468</v>
      </c>
      <c r="D3621" s="4" t="s">
        <v>469</v>
      </c>
      <c r="E3621" s="5">
        <v>1300</v>
      </c>
    </row>
    <row r="3622" spans="1:6" x14ac:dyDescent="0.25">
      <c r="A3622" s="6" t="s">
        <v>1506</v>
      </c>
      <c r="B3622" s="11" t="s">
        <v>68</v>
      </c>
      <c r="D3622" s="4" t="s">
        <v>69</v>
      </c>
      <c r="E3622" s="5">
        <v>50</v>
      </c>
    </row>
    <row r="3623" spans="1:6" x14ac:dyDescent="0.25">
      <c r="A3623" s="6" t="s">
        <v>1506</v>
      </c>
      <c r="B3623" s="11" t="s">
        <v>70</v>
      </c>
      <c r="D3623" s="4" t="s">
        <v>127</v>
      </c>
      <c r="E3623" s="5">
        <v>1500</v>
      </c>
    </row>
    <row r="3624" spans="1:6" x14ac:dyDescent="0.25">
      <c r="A3624" s="6" t="s">
        <v>1506</v>
      </c>
      <c r="B3624" s="11" t="s">
        <v>472</v>
      </c>
      <c r="D3624" s="4" t="s">
        <v>1515</v>
      </c>
      <c r="E3624" s="5">
        <v>0</v>
      </c>
    </row>
    <row r="3625" spans="1:6" x14ac:dyDescent="0.25">
      <c r="A3625" s="6" t="s">
        <v>1506</v>
      </c>
      <c r="B3625" s="6" t="s">
        <v>46</v>
      </c>
      <c r="D3625" s="4" t="s">
        <v>47</v>
      </c>
      <c r="E3625" s="5">
        <v>4000</v>
      </c>
    </row>
    <row r="3626" spans="1:6" x14ac:dyDescent="0.25">
      <c r="A3626" s="6" t="s">
        <v>1506</v>
      </c>
      <c r="B3626" s="11" t="s">
        <v>72</v>
      </c>
      <c r="D3626" s="4" t="s">
        <v>111</v>
      </c>
      <c r="E3626" s="5">
        <v>1400</v>
      </c>
    </row>
    <row r="3627" spans="1:6" x14ac:dyDescent="0.25">
      <c r="A3627" s="6" t="s">
        <v>1506</v>
      </c>
      <c r="B3627" s="6" t="s">
        <v>177</v>
      </c>
      <c r="D3627" s="4" t="s">
        <v>178</v>
      </c>
      <c r="E3627" s="5">
        <f>6500+3000</f>
        <v>9500</v>
      </c>
    </row>
    <row r="3628" spans="1:6" x14ac:dyDescent="0.25">
      <c r="A3628" s="6" t="s">
        <v>1506</v>
      </c>
      <c r="B3628" s="6" t="s">
        <v>179</v>
      </c>
      <c r="D3628" s="4" t="s">
        <v>180</v>
      </c>
      <c r="E3628" s="5">
        <f>9500+1000</f>
        <v>10500</v>
      </c>
    </row>
    <row r="3629" spans="1:6" x14ac:dyDescent="0.25">
      <c r="A3629" s="6" t="s">
        <v>1506</v>
      </c>
      <c r="B3629" s="11" t="s">
        <v>1041</v>
      </c>
      <c r="D3629" s="4" t="s">
        <v>1516</v>
      </c>
      <c r="E3629" s="5">
        <f>145000-145000</f>
        <v>0</v>
      </c>
      <c r="F3629" s="4" t="s">
        <v>1517</v>
      </c>
    </row>
    <row r="3630" spans="1:6" x14ac:dyDescent="0.25">
      <c r="A3630" s="6" t="s">
        <v>1506</v>
      </c>
      <c r="B3630" s="11" t="s">
        <v>498</v>
      </c>
      <c r="D3630" s="4" t="s">
        <v>1518</v>
      </c>
      <c r="E3630" s="5">
        <v>0</v>
      </c>
    </row>
    <row r="3631" spans="1:6" x14ac:dyDescent="0.25">
      <c r="A3631" s="6" t="s">
        <v>1506</v>
      </c>
      <c r="B3631" s="11" t="s">
        <v>1155</v>
      </c>
      <c r="D3631" s="4" t="s">
        <v>1519</v>
      </c>
      <c r="E3631" s="5">
        <v>500</v>
      </c>
    </row>
    <row r="3632" spans="1:6" x14ac:dyDescent="0.25">
      <c r="A3632" s="6" t="s">
        <v>1506</v>
      </c>
      <c r="B3632" s="6" t="s">
        <v>1520</v>
      </c>
      <c r="D3632" s="4" t="s">
        <v>1521</v>
      </c>
      <c r="E3632" s="5">
        <v>10000</v>
      </c>
    </row>
    <row r="3633" spans="1:5" x14ac:dyDescent="0.25">
      <c r="A3633" s="6" t="s">
        <v>1506</v>
      </c>
      <c r="B3633" s="11" t="s">
        <v>48</v>
      </c>
      <c r="D3633" s="4" t="s">
        <v>49</v>
      </c>
      <c r="E3633" s="5">
        <v>800</v>
      </c>
    </row>
    <row r="3634" spans="1:5" x14ac:dyDescent="0.25">
      <c r="A3634" s="6" t="s">
        <v>1506</v>
      </c>
      <c r="B3634" s="11" t="s">
        <v>544</v>
      </c>
      <c r="D3634" s="4" t="s">
        <v>545</v>
      </c>
      <c r="E3634" s="5">
        <v>1800</v>
      </c>
    </row>
    <row r="3635" spans="1:5" x14ac:dyDescent="0.25">
      <c r="A3635" s="6" t="s">
        <v>1506</v>
      </c>
      <c r="B3635" s="11" t="s">
        <v>500</v>
      </c>
      <c r="D3635" s="4" t="s">
        <v>1522</v>
      </c>
      <c r="E3635" s="5">
        <f>200000-200000</f>
        <v>0</v>
      </c>
    </row>
    <row r="3636" spans="1:5" x14ac:dyDescent="0.25">
      <c r="A3636" s="6" t="s">
        <v>1506</v>
      </c>
      <c r="B3636" s="11" t="s">
        <v>112</v>
      </c>
      <c r="D3636" s="4" t="s">
        <v>297</v>
      </c>
      <c r="E3636" s="5">
        <v>500</v>
      </c>
    </row>
    <row r="3637" spans="1:5" x14ac:dyDescent="0.25">
      <c r="A3637" s="6" t="s">
        <v>1506</v>
      </c>
      <c r="B3637" s="11" t="s">
        <v>78</v>
      </c>
      <c r="D3637" s="4" t="s">
        <v>113</v>
      </c>
      <c r="E3637" s="5">
        <v>1500</v>
      </c>
    </row>
    <row r="3638" spans="1:5" x14ac:dyDescent="0.25">
      <c r="A3638" s="6" t="s">
        <v>1506</v>
      </c>
      <c r="B3638" s="11" t="s">
        <v>80</v>
      </c>
      <c r="D3638" s="4" t="s">
        <v>571</v>
      </c>
      <c r="E3638" s="5">
        <v>5500</v>
      </c>
    </row>
    <row r="3639" spans="1:5" x14ac:dyDescent="0.25">
      <c r="A3639" s="6" t="s">
        <v>1506</v>
      </c>
      <c r="B3639" s="11" t="s">
        <v>131</v>
      </c>
      <c r="D3639" s="4" t="s">
        <v>132</v>
      </c>
      <c r="E3639" s="5">
        <v>750</v>
      </c>
    </row>
    <row r="3640" spans="1:5" x14ac:dyDescent="0.25">
      <c r="A3640" s="6" t="s">
        <v>1506</v>
      </c>
      <c r="B3640" s="11" t="s">
        <v>298</v>
      </c>
      <c r="D3640" s="4" t="s">
        <v>533</v>
      </c>
      <c r="E3640" s="5">
        <v>200</v>
      </c>
    </row>
    <row r="3641" spans="1:5" x14ac:dyDescent="0.25">
      <c r="A3641" s="6" t="s">
        <v>1506</v>
      </c>
      <c r="B3641" s="11" t="s">
        <v>192</v>
      </c>
      <c r="D3641" s="4" t="s">
        <v>193</v>
      </c>
      <c r="E3641" s="5">
        <v>6500</v>
      </c>
    </row>
    <row r="3643" spans="1:5" x14ac:dyDescent="0.25">
      <c r="A3643" s="6" t="s">
        <v>1523</v>
      </c>
      <c r="B3643" s="6" t="s">
        <v>4</v>
      </c>
      <c r="C3643" s="6" t="s">
        <v>4</v>
      </c>
      <c r="D3643" s="4" t="s">
        <v>4</v>
      </c>
      <c r="E3643" s="5">
        <f>SUM(E3598:E3641)</f>
        <v>347560.13</v>
      </c>
    </row>
    <row r="3645" spans="1:5" hidden="1" x14ac:dyDescent="0.25">
      <c r="A3645" s="6" t="s">
        <v>1524</v>
      </c>
    </row>
    <row r="3646" spans="1:5" hidden="1" x14ac:dyDescent="0.25">
      <c r="A3646" s="6" t="s">
        <v>12</v>
      </c>
    </row>
    <row r="3647" spans="1:5" hidden="1" x14ac:dyDescent="0.25">
      <c r="A3647" s="6" t="s">
        <v>1525</v>
      </c>
      <c r="B3647" s="6" t="s">
        <v>165</v>
      </c>
      <c r="D3647" s="4" t="s">
        <v>550</v>
      </c>
      <c r="E3647" s="5">
        <v>0</v>
      </c>
    </row>
    <row r="3648" spans="1:5" hidden="1" x14ac:dyDescent="0.25"/>
    <row r="3649" spans="1:5" hidden="1" x14ac:dyDescent="0.25">
      <c r="A3649" s="6" t="s">
        <v>1526</v>
      </c>
      <c r="B3649" s="6" t="s">
        <v>4</v>
      </c>
      <c r="C3649" s="6" t="s">
        <v>4</v>
      </c>
      <c r="D3649" s="4" t="s">
        <v>4</v>
      </c>
      <c r="E3649" s="5">
        <f>E3647</f>
        <v>0</v>
      </c>
    </row>
    <row r="3650" spans="1:5" hidden="1" x14ac:dyDescent="0.25"/>
    <row r="3651" spans="1:5" x14ac:dyDescent="0.25">
      <c r="A3651" s="6" t="s">
        <v>1527</v>
      </c>
    </row>
    <row r="3652" spans="1:5" x14ac:dyDescent="0.25">
      <c r="A3652" s="6" t="s">
        <v>12</v>
      </c>
    </row>
    <row r="3653" spans="1:5" x14ac:dyDescent="0.25">
      <c r="A3653" s="6" t="s">
        <v>1528</v>
      </c>
      <c r="B3653" s="6" t="s">
        <v>14</v>
      </c>
      <c r="D3653" s="4" t="s">
        <v>15</v>
      </c>
      <c r="E3653" s="5">
        <v>190203</v>
      </c>
    </row>
    <row r="3654" spans="1:5" x14ac:dyDescent="0.25">
      <c r="A3654" s="6" t="s">
        <v>1528</v>
      </c>
      <c r="B3654" s="11" t="s">
        <v>25</v>
      </c>
      <c r="D3654" s="4" t="s">
        <v>58</v>
      </c>
      <c r="E3654" s="5">
        <v>0</v>
      </c>
    </row>
    <row r="3655" spans="1:5" x14ac:dyDescent="0.25">
      <c r="A3655" s="6" t="s">
        <v>1528</v>
      </c>
      <c r="B3655" s="6" t="s">
        <v>17</v>
      </c>
      <c r="D3655" s="4" t="s">
        <v>18</v>
      </c>
      <c r="E3655" s="5">
        <f>(E3653+E3654)*B3801</f>
        <v>11792.585999999999</v>
      </c>
    </row>
    <row r="3656" spans="1:5" x14ac:dyDescent="0.25">
      <c r="A3656" s="6" t="s">
        <v>1528</v>
      </c>
      <c r="B3656" s="6" t="s">
        <v>19</v>
      </c>
      <c r="D3656" s="4" t="s">
        <v>20</v>
      </c>
      <c r="E3656" s="5">
        <f>(E3653+E3654)*B3802</f>
        <v>2757.9435000000003</v>
      </c>
    </row>
    <row r="3657" spans="1:5" x14ac:dyDescent="0.25">
      <c r="A3657" s="6" t="s">
        <v>1528</v>
      </c>
      <c r="B3657" s="6" t="s">
        <v>21</v>
      </c>
      <c r="D3657" s="4" t="s">
        <v>22</v>
      </c>
      <c r="E3657" s="5">
        <f>(E3653+E3654)*B3803</f>
        <v>44393.3802</v>
      </c>
    </row>
    <row r="3659" spans="1:5" x14ac:dyDescent="0.25">
      <c r="A3659" s="6" t="s">
        <v>1529</v>
      </c>
      <c r="B3659" s="6" t="s">
        <v>4</v>
      </c>
      <c r="C3659" s="6" t="s">
        <v>4</v>
      </c>
      <c r="D3659" s="4" t="s">
        <v>4</v>
      </c>
      <c r="E3659" s="5">
        <f>SUM(E3653:E3657)</f>
        <v>249146.90970000002</v>
      </c>
    </row>
    <row r="3661" spans="1:5" x14ac:dyDescent="0.25">
      <c r="A3661" s="6" t="s">
        <v>1530</v>
      </c>
    </row>
    <row r="3662" spans="1:5" x14ac:dyDescent="0.25">
      <c r="A3662" s="6" t="s">
        <v>12</v>
      </c>
    </row>
    <row r="3663" spans="1:5" x14ac:dyDescent="0.25">
      <c r="A3663" s="6" t="s">
        <v>1531</v>
      </c>
      <c r="B3663" s="6" t="s">
        <v>14</v>
      </c>
      <c r="D3663" s="4" t="s">
        <v>15</v>
      </c>
      <c r="E3663" s="5">
        <f>452868-32868+12000</f>
        <v>432000</v>
      </c>
    </row>
    <row r="3664" spans="1:5" x14ac:dyDescent="0.25">
      <c r="A3664" s="6" t="s">
        <v>1531</v>
      </c>
      <c r="B3664" s="6" t="s">
        <v>36</v>
      </c>
      <c r="D3664" s="4" t="s">
        <v>157</v>
      </c>
      <c r="E3664" s="5">
        <f>3500+12500</f>
        <v>16000</v>
      </c>
    </row>
    <row r="3665" spans="1:6" x14ac:dyDescent="0.25">
      <c r="A3665" s="6" t="s">
        <v>1531</v>
      </c>
      <c r="B3665" s="6" t="s">
        <v>17</v>
      </c>
      <c r="D3665" s="4" t="s">
        <v>18</v>
      </c>
      <c r="E3665" s="5">
        <f>SUM(E3663:E3664)*B3801</f>
        <v>27776</v>
      </c>
    </row>
    <row r="3666" spans="1:6" x14ac:dyDescent="0.25">
      <c r="A3666" s="6" t="s">
        <v>1531</v>
      </c>
      <c r="B3666" s="6" t="s">
        <v>19</v>
      </c>
      <c r="D3666" s="4" t="s">
        <v>20</v>
      </c>
      <c r="E3666" s="5">
        <f>SUM(E3663:E3664)*B3802</f>
        <v>6496</v>
      </c>
    </row>
    <row r="3667" spans="1:6" x14ac:dyDescent="0.25">
      <c r="A3667" s="6" t="s">
        <v>1531</v>
      </c>
      <c r="B3667" s="6" t="s">
        <v>21</v>
      </c>
      <c r="D3667" s="4" t="s">
        <v>22</v>
      </c>
      <c r="E3667" s="5">
        <f>SUM(E3663:E3664)*B3803</f>
        <v>104563.2</v>
      </c>
    </row>
    <row r="3668" spans="1:6" x14ac:dyDescent="0.25">
      <c r="A3668" s="6" t="s">
        <v>1531</v>
      </c>
      <c r="B3668" s="11" t="s">
        <v>1501</v>
      </c>
      <c r="D3668" s="4" t="s">
        <v>1502</v>
      </c>
      <c r="E3668" s="5">
        <v>11500</v>
      </c>
      <c r="F3668" s="4" t="s">
        <v>1532</v>
      </c>
    </row>
    <row r="3669" spans="1:6" x14ac:dyDescent="0.25">
      <c r="A3669" s="6" t="s">
        <v>1531</v>
      </c>
      <c r="B3669" s="11" t="s">
        <v>500</v>
      </c>
      <c r="D3669" s="4" t="s">
        <v>1522</v>
      </c>
      <c r="E3669" s="5">
        <f>249000</f>
        <v>249000</v>
      </c>
    </row>
    <row r="3671" spans="1:6" x14ac:dyDescent="0.25">
      <c r="A3671" s="6" t="s">
        <v>1533</v>
      </c>
      <c r="B3671" s="6" t="s">
        <v>4</v>
      </c>
      <c r="C3671" s="6" t="s">
        <v>4</v>
      </c>
      <c r="D3671" s="4" t="s">
        <v>4</v>
      </c>
      <c r="E3671" s="5">
        <f>SUM(E3663:E3669)</f>
        <v>847335.2</v>
      </c>
    </row>
    <row r="3673" spans="1:6" x14ac:dyDescent="0.25">
      <c r="A3673" s="6" t="s">
        <v>1534</v>
      </c>
    </row>
    <row r="3674" spans="1:6" x14ac:dyDescent="0.25">
      <c r="A3674" s="6" t="s">
        <v>12</v>
      </c>
    </row>
    <row r="3675" spans="1:6" x14ac:dyDescent="0.25">
      <c r="A3675" s="6" t="s">
        <v>1535</v>
      </c>
      <c r="B3675" s="6" t="s">
        <v>14</v>
      </c>
      <c r="D3675" s="4" t="s">
        <v>15</v>
      </c>
      <c r="E3675" s="5">
        <f>40000-10000</f>
        <v>30000</v>
      </c>
    </row>
    <row r="3676" spans="1:6" x14ac:dyDescent="0.25">
      <c r="A3676" s="6" t="s">
        <v>1535</v>
      </c>
      <c r="B3676" s="6" t="s">
        <v>36</v>
      </c>
      <c r="D3676" s="4" t="s">
        <v>157</v>
      </c>
      <c r="E3676" s="5">
        <v>3000</v>
      </c>
    </row>
    <row r="3677" spans="1:6" x14ac:dyDescent="0.25">
      <c r="A3677" s="6" t="s">
        <v>1535</v>
      </c>
      <c r="B3677" s="6" t="s">
        <v>17</v>
      </c>
      <c r="D3677" s="4" t="s">
        <v>18</v>
      </c>
      <c r="E3677" s="5">
        <f>SUM(B3675:E3676)*B3801</f>
        <v>2046</v>
      </c>
    </row>
    <row r="3678" spans="1:6" x14ac:dyDescent="0.25">
      <c r="A3678" s="6" t="s">
        <v>1535</v>
      </c>
      <c r="B3678" s="6" t="s">
        <v>19</v>
      </c>
      <c r="D3678" s="4" t="s">
        <v>20</v>
      </c>
      <c r="E3678" s="5">
        <f>SUM(E3675:E3676)*B3802</f>
        <v>478.5</v>
      </c>
    </row>
    <row r="3679" spans="1:6" x14ac:dyDescent="0.25">
      <c r="A3679" s="6" t="s">
        <v>1535</v>
      </c>
      <c r="B3679" s="6" t="s">
        <v>21</v>
      </c>
      <c r="D3679" s="4" t="s">
        <v>22</v>
      </c>
      <c r="E3679" s="5">
        <f>SUM(E3675:E3676)*B3803</f>
        <v>7702.2</v>
      </c>
    </row>
    <row r="3681" spans="1:5" x14ac:dyDescent="0.25">
      <c r="A3681" s="6" t="s">
        <v>1536</v>
      </c>
      <c r="B3681" s="6" t="s">
        <v>4</v>
      </c>
      <c r="C3681" s="6" t="s">
        <v>4</v>
      </c>
      <c r="D3681" s="4" t="s">
        <v>4</v>
      </c>
      <c r="E3681" s="5">
        <f>SUM(E3675:E3679)</f>
        <v>43226.7</v>
      </c>
    </row>
    <row r="3683" spans="1:5" x14ac:dyDescent="0.25">
      <c r="A3683" s="40" t="s">
        <v>1568</v>
      </c>
      <c r="B3683" s="38"/>
      <c r="C3683" s="38"/>
      <c r="D3683" s="38"/>
      <c r="E3683" s="37"/>
    </row>
    <row r="3684" spans="1:5" x14ac:dyDescent="0.25">
      <c r="A3684" s="40" t="s">
        <v>12</v>
      </c>
      <c r="B3684" s="38"/>
      <c r="C3684" s="38"/>
      <c r="D3684" s="38"/>
      <c r="E3684" s="37"/>
    </row>
    <row r="3685" spans="1:5" x14ac:dyDescent="0.25">
      <c r="A3685" s="40" t="s">
        <v>1567</v>
      </c>
      <c r="B3685" s="40" t="s">
        <v>14</v>
      </c>
      <c r="C3685" s="38"/>
      <c r="D3685" s="38" t="s">
        <v>15</v>
      </c>
      <c r="E3685" s="37">
        <v>53000</v>
      </c>
    </row>
    <row r="3686" spans="1:5" x14ac:dyDescent="0.25">
      <c r="A3686" s="40" t="s">
        <v>1567</v>
      </c>
      <c r="B3686" s="40" t="s">
        <v>36</v>
      </c>
      <c r="C3686" s="38"/>
      <c r="D3686" s="38" t="s">
        <v>157</v>
      </c>
      <c r="E3686" s="37">
        <v>0</v>
      </c>
    </row>
    <row r="3687" spans="1:5" x14ac:dyDescent="0.25">
      <c r="A3687" s="40" t="s">
        <v>1567</v>
      </c>
      <c r="B3687" s="40" t="s">
        <v>17</v>
      </c>
      <c r="C3687" s="38"/>
      <c r="D3687" s="38" t="s">
        <v>18</v>
      </c>
      <c r="E3687" s="37">
        <f>SUM(E3685:E3686)*B3801</f>
        <v>3286</v>
      </c>
    </row>
    <row r="3688" spans="1:5" x14ac:dyDescent="0.25">
      <c r="A3688" s="40" t="s">
        <v>1567</v>
      </c>
      <c r="B3688" s="40" t="s">
        <v>19</v>
      </c>
      <c r="C3688" s="38"/>
      <c r="D3688" s="38" t="s">
        <v>20</v>
      </c>
      <c r="E3688" s="37">
        <f>SUM(E3685:E3686)*B3802</f>
        <v>768.5</v>
      </c>
    </row>
    <row r="3689" spans="1:5" x14ac:dyDescent="0.25">
      <c r="A3689" s="40" t="s">
        <v>1567</v>
      </c>
      <c r="B3689" s="40" t="s">
        <v>21</v>
      </c>
      <c r="C3689" s="38"/>
      <c r="D3689" s="38" t="s">
        <v>22</v>
      </c>
      <c r="E3689" s="37">
        <f>SUM(E3685:E3686)*B3803</f>
        <v>12370.199999999999</v>
      </c>
    </row>
    <row r="3690" spans="1:5" x14ac:dyDescent="0.25">
      <c r="A3690" s="38"/>
      <c r="B3690" s="38"/>
      <c r="C3690" s="38"/>
      <c r="D3690" s="38"/>
      <c r="E3690" s="37"/>
    </row>
    <row r="3691" spans="1:5" x14ac:dyDescent="0.25">
      <c r="A3691" s="40" t="s">
        <v>1536</v>
      </c>
      <c r="B3691" s="40" t="s">
        <v>4</v>
      </c>
      <c r="C3691" s="40" t="s">
        <v>4</v>
      </c>
      <c r="D3691" s="38" t="s">
        <v>4</v>
      </c>
      <c r="E3691" s="37">
        <f>SUM(E3685:E3689)</f>
        <v>69424.7</v>
      </c>
    </row>
    <row r="3693" spans="1:5" x14ac:dyDescent="0.25">
      <c r="A3693" s="6" t="s">
        <v>1537</v>
      </c>
    </row>
    <row r="3694" spans="1:5" x14ac:dyDescent="0.25">
      <c r="A3694" s="6" t="s">
        <v>12</v>
      </c>
    </row>
    <row r="3695" spans="1:5" x14ac:dyDescent="0.25">
      <c r="A3695" s="6" t="s">
        <v>1538</v>
      </c>
      <c r="B3695" s="6" t="s">
        <v>14</v>
      </c>
      <c r="D3695" s="4" t="s">
        <v>15</v>
      </c>
      <c r="E3695" s="5">
        <v>141654</v>
      </c>
    </row>
    <row r="3696" spans="1:5" x14ac:dyDescent="0.25">
      <c r="A3696" s="6" t="s">
        <v>1538</v>
      </c>
      <c r="B3696" s="11" t="s">
        <v>25</v>
      </c>
      <c r="D3696" s="4" t="s">
        <v>58</v>
      </c>
      <c r="E3696" s="5">
        <v>0</v>
      </c>
    </row>
    <row r="3697" spans="1:5" x14ac:dyDescent="0.25">
      <c r="A3697" s="6" t="s">
        <v>1538</v>
      </c>
      <c r="B3697" s="6" t="s">
        <v>36</v>
      </c>
      <c r="D3697" s="4" t="s">
        <v>157</v>
      </c>
      <c r="E3697" s="5">
        <v>1000</v>
      </c>
    </row>
    <row r="3698" spans="1:5" x14ac:dyDescent="0.25">
      <c r="A3698" s="6" t="s">
        <v>1538</v>
      </c>
      <c r="B3698" s="6" t="s">
        <v>17</v>
      </c>
      <c r="D3698" s="4" t="s">
        <v>18</v>
      </c>
      <c r="E3698" s="5">
        <f>SUM(E3695:E3697)*B3801</f>
        <v>8844.5480000000007</v>
      </c>
    </row>
    <row r="3699" spans="1:5" x14ac:dyDescent="0.25">
      <c r="A3699" s="6" t="s">
        <v>1538</v>
      </c>
      <c r="B3699" s="6" t="s">
        <v>19</v>
      </c>
      <c r="D3699" s="4" t="s">
        <v>20</v>
      </c>
      <c r="E3699" s="5">
        <f>SUM(E3695:E3697)*B3802</f>
        <v>2068.4830000000002</v>
      </c>
    </row>
    <row r="3700" spans="1:5" x14ac:dyDescent="0.25">
      <c r="A3700" s="6" t="s">
        <v>1538</v>
      </c>
      <c r="B3700" s="6" t="s">
        <v>21</v>
      </c>
      <c r="D3700" s="4" t="s">
        <v>22</v>
      </c>
      <c r="E3700" s="5">
        <f>SUM(E3695:E3697)*B3803</f>
        <v>33295.443599999999</v>
      </c>
    </row>
    <row r="3701" spans="1:5" x14ac:dyDescent="0.25">
      <c r="A3701" s="6" t="s">
        <v>1538</v>
      </c>
      <c r="B3701" s="11" t="s">
        <v>1041</v>
      </c>
      <c r="D3701" s="4" t="s">
        <v>1516</v>
      </c>
      <c r="E3701" s="5">
        <f>85000+15000</f>
        <v>100000</v>
      </c>
    </row>
    <row r="3703" spans="1:5" x14ac:dyDescent="0.25">
      <c r="A3703" s="6" t="s">
        <v>1539</v>
      </c>
      <c r="B3703" s="6" t="s">
        <v>4</v>
      </c>
      <c r="C3703" s="6" t="s">
        <v>4</v>
      </c>
      <c r="D3703" s="4" t="s">
        <v>4</v>
      </c>
      <c r="E3703" s="5">
        <f>SUM(E3695:E3701)</f>
        <v>286862.47460000002</v>
      </c>
    </row>
    <row r="3705" spans="1:5" hidden="1" x14ac:dyDescent="0.25">
      <c r="A3705" s="6" t="s">
        <v>1540</v>
      </c>
    </row>
    <row r="3706" spans="1:5" hidden="1" x14ac:dyDescent="0.25">
      <c r="A3706" s="6" t="s">
        <v>12</v>
      </c>
    </row>
    <row r="3707" spans="1:5" hidden="1" x14ac:dyDescent="0.25">
      <c r="A3707" s="6" t="s">
        <v>1541</v>
      </c>
      <c r="B3707" s="6" t="s">
        <v>14</v>
      </c>
      <c r="D3707" s="4" t="s">
        <v>15</v>
      </c>
      <c r="E3707" s="5">
        <f>57873-57873</f>
        <v>0</v>
      </c>
    </row>
    <row r="3708" spans="1:5" hidden="1" x14ac:dyDescent="0.25">
      <c r="A3708" s="6" t="s">
        <v>1541</v>
      </c>
      <c r="B3708" s="6" t="s">
        <v>36</v>
      </c>
      <c r="D3708" s="4" t="s">
        <v>157</v>
      </c>
      <c r="E3708" s="5">
        <f>1000-1000</f>
        <v>0</v>
      </c>
    </row>
    <row r="3709" spans="1:5" hidden="1" x14ac:dyDescent="0.25">
      <c r="A3709" s="6" t="s">
        <v>1541</v>
      </c>
      <c r="B3709" s="6" t="s">
        <v>17</v>
      </c>
      <c r="D3709" s="4" t="s">
        <v>18</v>
      </c>
      <c r="E3709" s="5">
        <f>SUM(E3707:E3708)*B3801</f>
        <v>0</v>
      </c>
    </row>
    <row r="3710" spans="1:5" hidden="1" x14ac:dyDescent="0.25">
      <c r="A3710" s="6" t="s">
        <v>1541</v>
      </c>
      <c r="B3710" s="6" t="s">
        <v>19</v>
      </c>
      <c r="D3710" s="4" t="s">
        <v>20</v>
      </c>
      <c r="E3710" s="5">
        <f>SUM(E3707:E3708)*B3802</f>
        <v>0</v>
      </c>
    </row>
    <row r="3711" spans="1:5" hidden="1" x14ac:dyDescent="0.25">
      <c r="A3711" s="6" t="s">
        <v>1541</v>
      </c>
      <c r="B3711" s="6" t="s">
        <v>21</v>
      </c>
      <c r="D3711" s="4" t="s">
        <v>22</v>
      </c>
      <c r="E3711" s="5">
        <f>SUM(E3707:E3708)*B3803</f>
        <v>0</v>
      </c>
    </row>
    <row r="3712" spans="1:5" hidden="1" x14ac:dyDescent="0.25"/>
    <row r="3713" spans="1:6" hidden="1" x14ac:dyDescent="0.25">
      <c r="A3713" s="6" t="s">
        <v>1542</v>
      </c>
      <c r="B3713" s="6" t="s">
        <v>4</v>
      </c>
      <c r="C3713" s="6" t="s">
        <v>4</v>
      </c>
      <c r="D3713" s="4" t="s">
        <v>4</v>
      </c>
      <c r="E3713" s="5">
        <f>SUM(E3707:E3711)</f>
        <v>0</v>
      </c>
    </row>
    <row r="3714" spans="1:6" hidden="1" x14ac:dyDescent="0.25"/>
    <row r="3715" spans="1:6" hidden="1" x14ac:dyDescent="0.25">
      <c r="A3715" s="6" t="s">
        <v>1543</v>
      </c>
    </row>
    <row r="3716" spans="1:6" hidden="1" x14ac:dyDescent="0.25">
      <c r="A3716" s="6" t="s">
        <v>12</v>
      </c>
    </row>
    <row r="3717" spans="1:6" hidden="1" x14ac:dyDescent="0.25">
      <c r="A3717" s="6" t="s">
        <v>1544</v>
      </c>
      <c r="B3717" s="6" t="s">
        <v>254</v>
      </c>
      <c r="D3717" s="4" t="s">
        <v>255</v>
      </c>
      <c r="E3717" s="5">
        <f>15000-15000</f>
        <v>0</v>
      </c>
    </row>
    <row r="3718" spans="1:6" hidden="1" x14ac:dyDescent="0.25">
      <c r="A3718" s="6" t="s">
        <v>1544</v>
      </c>
      <c r="B3718" s="11" t="s">
        <v>19</v>
      </c>
      <c r="D3718" s="4" t="s">
        <v>20</v>
      </c>
      <c r="E3718" s="5">
        <f>E3717*B3798</f>
        <v>0</v>
      </c>
    </row>
    <row r="3719" spans="1:6" hidden="1" x14ac:dyDescent="0.25">
      <c r="A3719" s="6" t="s">
        <v>1544</v>
      </c>
      <c r="B3719" s="11" t="s">
        <v>40</v>
      </c>
      <c r="D3719" s="4" t="s">
        <v>22</v>
      </c>
      <c r="E3719" s="5">
        <f>E3717*B3799</f>
        <v>0</v>
      </c>
    </row>
    <row r="3720" spans="1:6" hidden="1" x14ac:dyDescent="0.25">
      <c r="A3720" s="12" t="s">
        <v>1545</v>
      </c>
      <c r="B3720" s="12" t="s">
        <v>841</v>
      </c>
      <c r="D3720" s="4" t="s">
        <v>1546</v>
      </c>
      <c r="E3720" s="5">
        <v>0</v>
      </c>
    </row>
    <row r="3721" spans="1:6" hidden="1" x14ac:dyDescent="0.25">
      <c r="A3721" s="6" t="s">
        <v>1547</v>
      </c>
      <c r="B3721" s="6" t="s">
        <v>4</v>
      </c>
      <c r="C3721" s="6" t="s">
        <v>4</v>
      </c>
      <c r="D3721" s="4" t="s">
        <v>4</v>
      </c>
      <c r="E3721" s="5">
        <f>SUM(E3717:E3720)</f>
        <v>0</v>
      </c>
    </row>
    <row r="3722" spans="1:6" hidden="1" x14ac:dyDescent="0.25"/>
    <row r="3723" spans="1:6" x14ac:dyDescent="0.25">
      <c r="A3723" s="40" t="s">
        <v>1575</v>
      </c>
      <c r="B3723" s="38"/>
      <c r="C3723" s="38"/>
      <c r="D3723" s="38"/>
      <c r="E3723" s="37"/>
    </row>
    <row r="3724" spans="1:6" x14ac:dyDescent="0.25">
      <c r="A3724" s="40" t="s">
        <v>12</v>
      </c>
      <c r="B3724" s="38"/>
      <c r="C3724" s="38"/>
      <c r="D3724" s="38"/>
      <c r="E3724" s="37"/>
      <c r="F3724" s="4" t="s">
        <v>1577</v>
      </c>
    </row>
    <row r="3725" spans="1:6" x14ac:dyDescent="0.25">
      <c r="A3725" s="40" t="s">
        <v>1576</v>
      </c>
      <c r="B3725" s="40" t="s">
        <v>14</v>
      </c>
      <c r="C3725" s="38"/>
      <c r="D3725" s="38" t="s">
        <v>15</v>
      </c>
      <c r="E3725" s="37">
        <f>63000+4973</f>
        <v>67973</v>
      </c>
      <c r="F3725" s="4" t="s">
        <v>1578</v>
      </c>
    </row>
    <row r="3726" spans="1:6" x14ac:dyDescent="0.25">
      <c r="A3726" s="40" t="s">
        <v>1576</v>
      </c>
      <c r="B3726" s="40" t="s">
        <v>36</v>
      </c>
      <c r="C3726" s="38"/>
      <c r="D3726" s="38" t="s">
        <v>157</v>
      </c>
      <c r="E3726" s="37">
        <v>0</v>
      </c>
    </row>
    <row r="3727" spans="1:6" x14ac:dyDescent="0.25">
      <c r="A3727" s="40" t="s">
        <v>1576</v>
      </c>
      <c r="B3727" s="40" t="s">
        <v>17</v>
      </c>
      <c r="C3727" s="38"/>
      <c r="D3727" s="38" t="s">
        <v>18</v>
      </c>
      <c r="E3727" s="37">
        <f>SUM(E3724:E3726)*B3801</f>
        <v>4214.326</v>
      </c>
    </row>
    <row r="3728" spans="1:6" x14ac:dyDescent="0.25">
      <c r="A3728" s="40" t="s">
        <v>1576</v>
      </c>
      <c r="B3728" s="40" t="s">
        <v>19</v>
      </c>
      <c r="C3728" s="38"/>
      <c r="D3728" s="38" t="s">
        <v>20</v>
      </c>
      <c r="E3728" s="37">
        <f>SUM(E3725:E3726)*B3802</f>
        <v>985.60850000000005</v>
      </c>
    </row>
    <row r="3729" spans="1:5" x14ac:dyDescent="0.25">
      <c r="A3729" s="40" t="s">
        <v>1576</v>
      </c>
      <c r="B3729" s="40" t="s">
        <v>21</v>
      </c>
      <c r="C3729" s="38"/>
      <c r="D3729" s="38" t="s">
        <v>22</v>
      </c>
      <c r="E3729" s="37">
        <f>SUM(E3725:E3726)*B3803</f>
        <v>15864.8982</v>
      </c>
    </row>
    <row r="3730" spans="1:5" x14ac:dyDescent="0.25">
      <c r="A3730" s="38"/>
      <c r="B3730" s="38"/>
      <c r="C3730" s="38"/>
      <c r="D3730" s="38"/>
      <c r="E3730" s="37"/>
    </row>
    <row r="3731" spans="1:5" x14ac:dyDescent="0.25">
      <c r="A3731" s="40" t="s">
        <v>1536</v>
      </c>
      <c r="B3731" s="40" t="s">
        <v>4</v>
      </c>
      <c r="C3731" s="40" t="s">
        <v>4</v>
      </c>
      <c r="D3731" s="38" t="s">
        <v>4</v>
      </c>
      <c r="E3731" s="37">
        <f>SUM(E3725:E3729)</f>
        <v>89037.832699999999</v>
      </c>
    </row>
    <row r="3734" spans="1:5" x14ac:dyDescent="0.25">
      <c r="A3734" s="6" t="s">
        <v>1548</v>
      </c>
    </row>
    <row r="3735" spans="1:5" x14ac:dyDescent="0.25">
      <c r="A3735" s="6" t="s">
        <v>12</v>
      </c>
    </row>
    <row r="3736" spans="1:5" x14ac:dyDescent="0.25">
      <c r="A3736" s="6" t="s">
        <v>1549</v>
      </c>
      <c r="B3736" s="6" t="s">
        <v>14</v>
      </c>
      <c r="D3736" s="4" t="s">
        <v>15</v>
      </c>
      <c r="E3736" s="5">
        <v>866385</v>
      </c>
    </row>
    <row r="3737" spans="1:5" x14ac:dyDescent="0.25">
      <c r="A3737" s="6" t="s">
        <v>1549</v>
      </c>
      <c r="B3737" s="11" t="s">
        <v>25</v>
      </c>
      <c r="D3737" s="4" t="s">
        <v>58</v>
      </c>
      <c r="E3737" s="5">
        <f>5000+5000</f>
        <v>10000</v>
      </c>
    </row>
    <row r="3738" spans="1:5" x14ac:dyDescent="0.25">
      <c r="A3738" s="6" t="s">
        <v>1549</v>
      </c>
      <c r="B3738" s="11" t="s">
        <v>25</v>
      </c>
      <c r="D3738" s="4" t="s">
        <v>58</v>
      </c>
      <c r="E3738" s="5">
        <f>6290-6290</f>
        <v>0</v>
      </c>
    </row>
    <row r="3739" spans="1:5" x14ac:dyDescent="0.25">
      <c r="A3739" s="6" t="s">
        <v>1549</v>
      </c>
      <c r="B3739" s="6" t="s">
        <v>36</v>
      </c>
      <c r="D3739" s="4" t="s">
        <v>157</v>
      </c>
      <c r="E3739" s="5">
        <v>2000</v>
      </c>
    </row>
    <row r="3740" spans="1:5" x14ac:dyDescent="0.25">
      <c r="A3740" s="6" t="s">
        <v>1549</v>
      </c>
      <c r="B3740" s="11" t="s">
        <v>104</v>
      </c>
      <c r="D3740" s="4" t="s">
        <v>1500</v>
      </c>
      <c r="E3740" s="5">
        <v>1000</v>
      </c>
    </row>
    <row r="3741" spans="1:5" x14ac:dyDescent="0.25">
      <c r="A3741" s="6" t="s">
        <v>1549</v>
      </c>
      <c r="B3741" s="6" t="s">
        <v>17</v>
      </c>
      <c r="D3741" s="4" t="s">
        <v>18</v>
      </c>
      <c r="E3741" s="5">
        <f>SUM(E3736:E3740)*B3801</f>
        <v>54521.87</v>
      </c>
    </row>
    <row r="3742" spans="1:5" x14ac:dyDescent="0.25">
      <c r="A3742" s="6" t="s">
        <v>1549</v>
      </c>
      <c r="B3742" s="6" t="s">
        <v>19</v>
      </c>
      <c r="D3742" s="4" t="s">
        <v>20</v>
      </c>
      <c r="E3742" s="5">
        <f>SUM(E3736:E3740)*B3802</f>
        <v>12751.0825</v>
      </c>
    </row>
    <row r="3743" spans="1:5" x14ac:dyDescent="0.25">
      <c r="A3743" s="6" t="s">
        <v>1549</v>
      </c>
      <c r="B3743" s="11" t="s">
        <v>40</v>
      </c>
      <c r="D3743" s="4" t="s">
        <v>41</v>
      </c>
      <c r="E3743" s="5">
        <f>E3738*B3799</f>
        <v>0</v>
      </c>
    </row>
    <row r="3744" spans="1:5" x14ac:dyDescent="0.25">
      <c r="A3744" s="6" t="s">
        <v>1549</v>
      </c>
      <c r="B3744" s="6" t="s">
        <v>21</v>
      </c>
      <c r="D3744" s="4" t="s">
        <v>22</v>
      </c>
      <c r="E3744" s="5">
        <f>(SUM(E3736:E3740)-B3738)*B3803</f>
        <v>205217.8836</v>
      </c>
    </row>
    <row r="3745" spans="1:5" x14ac:dyDescent="0.25">
      <c r="A3745" s="6" t="s">
        <v>1549</v>
      </c>
      <c r="B3745" s="11" t="s">
        <v>42</v>
      </c>
      <c r="D3745" s="4" t="s">
        <v>126</v>
      </c>
      <c r="E3745" s="5">
        <v>0</v>
      </c>
    </row>
    <row r="3746" spans="1:5" x14ac:dyDescent="0.25">
      <c r="A3746" s="6" t="s">
        <v>1549</v>
      </c>
      <c r="B3746" s="6" t="s">
        <v>61</v>
      </c>
      <c r="D3746" s="4" t="s">
        <v>188</v>
      </c>
      <c r="E3746" s="5">
        <v>300</v>
      </c>
    </row>
    <row r="3747" spans="1:5" x14ac:dyDescent="0.25">
      <c r="A3747" s="6" t="s">
        <v>1549</v>
      </c>
      <c r="B3747" s="11" t="s">
        <v>44</v>
      </c>
      <c r="D3747" s="4" t="s">
        <v>45</v>
      </c>
      <c r="E3747" s="5">
        <v>5324</v>
      </c>
    </row>
    <row r="3748" spans="1:5" x14ac:dyDescent="0.25">
      <c r="A3748" s="6" t="s">
        <v>1549</v>
      </c>
      <c r="B3748" s="11" t="s">
        <v>372</v>
      </c>
      <c r="D3748" s="4" t="s">
        <v>608</v>
      </c>
      <c r="E3748" s="5">
        <v>0</v>
      </c>
    </row>
    <row r="3749" spans="1:5" x14ac:dyDescent="0.25">
      <c r="A3749" s="6" t="s">
        <v>1549</v>
      </c>
      <c r="B3749" s="6" t="s">
        <v>167</v>
      </c>
      <c r="D3749" s="4" t="s">
        <v>537</v>
      </c>
      <c r="E3749" s="5">
        <v>0</v>
      </c>
    </row>
    <row r="3750" spans="1:5" x14ac:dyDescent="0.25">
      <c r="A3750" s="6" t="s">
        <v>1549</v>
      </c>
      <c r="B3750" s="11" t="s">
        <v>169</v>
      </c>
      <c r="D3750" s="4" t="s">
        <v>170</v>
      </c>
      <c r="E3750" s="5">
        <v>5324</v>
      </c>
    </row>
    <row r="3751" spans="1:5" x14ac:dyDescent="0.25">
      <c r="A3751" s="6" t="s">
        <v>1549</v>
      </c>
      <c r="B3751" s="6" t="s">
        <v>136</v>
      </c>
      <c r="D3751" s="4" t="s">
        <v>720</v>
      </c>
      <c r="E3751" s="5">
        <v>2500</v>
      </c>
    </row>
    <row r="3752" spans="1:5" x14ac:dyDescent="0.25">
      <c r="A3752" s="6" t="s">
        <v>1549</v>
      </c>
      <c r="B3752" s="6" t="s">
        <v>171</v>
      </c>
      <c r="D3752" s="4" t="s">
        <v>516</v>
      </c>
      <c r="E3752" s="5">
        <v>4000</v>
      </c>
    </row>
    <row r="3753" spans="1:5" x14ac:dyDescent="0.25">
      <c r="A3753" s="6" t="s">
        <v>1549</v>
      </c>
      <c r="B3753" s="11" t="s">
        <v>173</v>
      </c>
      <c r="D3753" s="4" t="s">
        <v>589</v>
      </c>
      <c r="E3753" s="5">
        <v>8000</v>
      </c>
    </row>
    <row r="3754" spans="1:5" x14ac:dyDescent="0.25">
      <c r="A3754" s="6" t="s">
        <v>1549</v>
      </c>
      <c r="B3754" s="6" t="s">
        <v>64</v>
      </c>
      <c r="D3754" s="4" t="s">
        <v>1550</v>
      </c>
      <c r="E3754" s="5">
        <v>500</v>
      </c>
    </row>
    <row r="3755" spans="1:5" x14ac:dyDescent="0.25">
      <c r="A3755" s="6" t="s">
        <v>1549</v>
      </c>
      <c r="B3755" s="6" t="s">
        <v>542</v>
      </c>
      <c r="D3755" s="4" t="s">
        <v>543</v>
      </c>
      <c r="E3755" s="5">
        <v>500</v>
      </c>
    </row>
    <row r="3756" spans="1:5" x14ac:dyDescent="0.25">
      <c r="A3756" s="6" t="s">
        <v>1549</v>
      </c>
      <c r="B3756" s="11" t="s">
        <v>1034</v>
      </c>
      <c r="D3756" s="4" t="s">
        <v>1035</v>
      </c>
      <c r="E3756" s="5">
        <v>1500</v>
      </c>
    </row>
    <row r="3757" spans="1:5" x14ac:dyDescent="0.25">
      <c r="A3757" s="6" t="s">
        <v>1549</v>
      </c>
      <c r="B3757" s="11" t="s">
        <v>175</v>
      </c>
      <c r="D3757" s="4" t="s">
        <v>1347</v>
      </c>
      <c r="E3757" s="5">
        <v>500</v>
      </c>
    </row>
    <row r="3758" spans="1:5" x14ac:dyDescent="0.25">
      <c r="A3758" s="6" t="s">
        <v>1549</v>
      </c>
      <c r="B3758" s="6" t="s">
        <v>66</v>
      </c>
      <c r="D3758" s="4" t="s">
        <v>67</v>
      </c>
      <c r="E3758" s="5">
        <v>16000</v>
      </c>
    </row>
    <row r="3759" spans="1:5" x14ac:dyDescent="0.25">
      <c r="A3759" s="6" t="s">
        <v>1549</v>
      </c>
      <c r="B3759" s="6" t="s">
        <v>70</v>
      </c>
      <c r="D3759" s="4" t="s">
        <v>471</v>
      </c>
      <c r="E3759" s="5">
        <v>0</v>
      </c>
    </row>
    <row r="3760" spans="1:5" x14ac:dyDescent="0.25">
      <c r="A3760" s="6" t="s">
        <v>1549</v>
      </c>
      <c r="B3760" s="6" t="s">
        <v>46</v>
      </c>
      <c r="D3760" s="4" t="s">
        <v>47</v>
      </c>
      <c r="E3760" s="5">
        <f>100000</f>
        <v>100000</v>
      </c>
    </row>
    <row r="3761" spans="1:6" x14ac:dyDescent="0.25">
      <c r="A3761" s="6" t="s">
        <v>1549</v>
      </c>
      <c r="B3761" s="11" t="s">
        <v>72</v>
      </c>
      <c r="D3761" s="4" t="s">
        <v>111</v>
      </c>
      <c r="E3761" s="5">
        <v>500</v>
      </c>
    </row>
    <row r="3762" spans="1:6" x14ac:dyDescent="0.25">
      <c r="A3762" s="6" t="s">
        <v>1549</v>
      </c>
      <c r="B3762" s="6" t="s">
        <v>374</v>
      </c>
      <c r="D3762" s="4" t="s">
        <v>1551</v>
      </c>
      <c r="E3762" s="5">
        <v>15000</v>
      </c>
    </row>
    <row r="3763" spans="1:6" x14ac:dyDescent="0.25">
      <c r="A3763" s="6" t="s">
        <v>1549</v>
      </c>
      <c r="B3763" s="6" t="s">
        <v>1041</v>
      </c>
      <c r="D3763" s="4" t="s">
        <v>1552</v>
      </c>
      <c r="E3763" s="5">
        <v>1000</v>
      </c>
    </row>
    <row r="3764" spans="1:6" x14ac:dyDescent="0.25">
      <c r="A3764" s="6" t="s">
        <v>1549</v>
      </c>
      <c r="B3764" s="11" t="s">
        <v>544</v>
      </c>
      <c r="D3764" s="4" t="s">
        <v>545</v>
      </c>
      <c r="E3764" s="5">
        <v>500</v>
      </c>
    </row>
    <row r="3765" spans="1:6" x14ac:dyDescent="0.25">
      <c r="A3765" s="6" t="s">
        <v>1549</v>
      </c>
      <c r="B3765" s="11" t="s">
        <v>500</v>
      </c>
      <c r="D3765" s="4" t="s">
        <v>1047</v>
      </c>
      <c r="E3765" s="5">
        <v>0</v>
      </c>
    </row>
    <row r="3766" spans="1:6" x14ac:dyDescent="0.25">
      <c r="A3766" s="6" t="s">
        <v>1549</v>
      </c>
      <c r="B3766" s="11" t="s">
        <v>112</v>
      </c>
      <c r="D3766" s="4" t="s">
        <v>297</v>
      </c>
      <c r="E3766" s="5">
        <v>0</v>
      </c>
    </row>
    <row r="3767" spans="1:6" x14ac:dyDescent="0.25">
      <c r="A3767" s="6" t="s">
        <v>1549</v>
      </c>
      <c r="B3767" s="11" t="s">
        <v>339</v>
      </c>
      <c r="D3767" s="4" t="s">
        <v>340</v>
      </c>
      <c r="E3767" s="5">
        <v>2500</v>
      </c>
    </row>
    <row r="3768" spans="1:6" x14ac:dyDescent="0.25">
      <c r="A3768" s="6" t="s">
        <v>1549</v>
      </c>
      <c r="B3768" s="11" t="s">
        <v>131</v>
      </c>
      <c r="D3768" s="4" t="s">
        <v>132</v>
      </c>
      <c r="E3768" s="5">
        <v>3000</v>
      </c>
    </row>
    <row r="3769" spans="1:6" x14ac:dyDescent="0.25">
      <c r="A3769" s="6" t="s">
        <v>1549</v>
      </c>
      <c r="B3769" s="11" t="s">
        <v>298</v>
      </c>
      <c r="D3769" s="4" t="s">
        <v>299</v>
      </c>
      <c r="E3769" s="5">
        <v>200</v>
      </c>
    </row>
    <row r="3770" spans="1:6" x14ac:dyDescent="0.25">
      <c r="A3770" s="6" t="s">
        <v>1549</v>
      </c>
      <c r="B3770" s="6" t="s">
        <v>192</v>
      </c>
      <c r="D3770" s="4" t="s">
        <v>546</v>
      </c>
      <c r="E3770" s="5">
        <v>4000</v>
      </c>
    </row>
    <row r="3771" spans="1:6" x14ac:dyDescent="0.25">
      <c r="A3771" s="6" t="s">
        <v>1549</v>
      </c>
      <c r="B3771" s="11" t="s">
        <v>14</v>
      </c>
      <c r="D3771" s="4" t="s">
        <v>1553</v>
      </c>
      <c r="E3771" s="5">
        <f>17463.17-17463.17</f>
        <v>0</v>
      </c>
    </row>
    <row r="3772" spans="1:6" x14ac:dyDescent="0.25">
      <c r="F3772" s="13"/>
    </row>
    <row r="3773" spans="1:6" x14ac:dyDescent="0.25">
      <c r="A3773" s="6" t="s">
        <v>1554</v>
      </c>
      <c r="B3773" s="6" t="s">
        <v>4</v>
      </c>
      <c r="C3773" s="6" t="s">
        <v>4</v>
      </c>
      <c r="D3773" s="4" t="s">
        <v>4</v>
      </c>
      <c r="E3773" s="5">
        <f>SUM(E3736:E3771)</f>
        <v>1323023.8361</v>
      </c>
    </row>
    <row r="3775" spans="1:6" x14ac:dyDescent="0.25">
      <c r="A3775" s="6" t="s">
        <v>1555</v>
      </c>
    </row>
    <row r="3776" spans="1:6" x14ac:dyDescent="0.25">
      <c r="A3776" s="11" t="s">
        <v>1556</v>
      </c>
      <c r="B3776" s="11" t="s">
        <v>14</v>
      </c>
      <c r="D3776" s="4" t="s">
        <v>15</v>
      </c>
      <c r="E3776" s="5">
        <v>89221</v>
      </c>
    </row>
    <row r="3777" spans="1:5" x14ac:dyDescent="0.25">
      <c r="A3777" s="11" t="s">
        <v>1556</v>
      </c>
      <c r="B3777" s="11" t="s">
        <v>19</v>
      </c>
      <c r="D3777" s="4" t="s">
        <v>20</v>
      </c>
      <c r="E3777" s="14">
        <f>E3776*B3798</f>
        <v>1293.7045000000001</v>
      </c>
    </row>
    <row r="3778" spans="1:5" x14ac:dyDescent="0.25">
      <c r="A3778" s="11" t="s">
        <v>1556</v>
      </c>
      <c r="B3778" s="11" t="s">
        <v>40</v>
      </c>
      <c r="D3778" s="4" t="s">
        <v>41</v>
      </c>
      <c r="E3778" s="5">
        <f>E3776*B3799</f>
        <v>2676.63</v>
      </c>
    </row>
    <row r="3779" spans="1:5" x14ac:dyDescent="0.25">
      <c r="A3779" s="11" t="s">
        <v>1556</v>
      </c>
      <c r="B3779" s="11" t="s">
        <v>61</v>
      </c>
      <c r="D3779" s="4" t="s">
        <v>62</v>
      </c>
      <c r="E3779" s="5">
        <v>0</v>
      </c>
    </row>
    <row r="3780" spans="1:5" x14ac:dyDescent="0.25">
      <c r="A3780" s="11" t="s">
        <v>1556</v>
      </c>
      <c r="B3780" s="11" t="s">
        <v>1574</v>
      </c>
      <c r="D3780" s="4" t="s">
        <v>598</v>
      </c>
      <c r="E3780" s="5">
        <v>0</v>
      </c>
    </row>
    <row r="3781" spans="1:5" x14ac:dyDescent="0.25">
      <c r="A3781" s="11" t="s">
        <v>1556</v>
      </c>
      <c r="B3781" s="11" t="s">
        <v>72</v>
      </c>
      <c r="D3781" s="4" t="s">
        <v>111</v>
      </c>
      <c r="E3781" s="5">
        <v>0</v>
      </c>
    </row>
    <row r="3782" spans="1:5" x14ac:dyDescent="0.25">
      <c r="A3782" s="11" t="s">
        <v>1556</v>
      </c>
      <c r="B3782" s="11" t="s">
        <v>131</v>
      </c>
      <c r="D3782" s="4" t="s">
        <v>132</v>
      </c>
      <c r="E3782" s="5">
        <v>0</v>
      </c>
    </row>
    <row r="3783" spans="1:5" x14ac:dyDescent="0.25">
      <c r="A3783" s="11" t="s">
        <v>1556</v>
      </c>
      <c r="B3783" s="11" t="s">
        <v>27</v>
      </c>
      <c r="D3783" s="4" t="s">
        <v>28</v>
      </c>
      <c r="E3783" s="5">
        <v>0</v>
      </c>
    </row>
    <row r="3785" spans="1:5" x14ac:dyDescent="0.25">
      <c r="A3785" s="4" t="s">
        <v>1557</v>
      </c>
      <c r="E3785" s="5">
        <f>SUM(E3776:E3783)</f>
        <v>93191.334500000012</v>
      </c>
    </row>
    <row r="3787" spans="1:5" x14ac:dyDescent="0.25">
      <c r="B3787" s="5"/>
    </row>
    <row r="3788" spans="1:5" x14ac:dyDescent="0.25">
      <c r="B3788" s="5"/>
    </row>
    <row r="3789" spans="1:5" x14ac:dyDescent="0.25">
      <c r="B3789" s="5"/>
    </row>
    <row r="3790" spans="1:5" x14ac:dyDescent="0.25">
      <c r="B3790" s="5"/>
    </row>
    <row r="3791" spans="1:5" x14ac:dyDescent="0.25">
      <c r="A3791" s="4" t="s">
        <v>1558</v>
      </c>
      <c r="B3791" s="4" t="s">
        <v>4</v>
      </c>
      <c r="C3791" s="4" t="s">
        <v>4</v>
      </c>
      <c r="D3791" s="4" t="s">
        <v>4</v>
      </c>
      <c r="E3791" s="5">
        <f>-E2221</f>
        <v>62147843.25</v>
      </c>
    </row>
    <row r="3792" spans="1:5" x14ac:dyDescent="0.25">
      <c r="A3792" s="4" t="s">
        <v>1559</v>
      </c>
      <c r="B3792" s="32"/>
      <c r="C3792" s="27"/>
      <c r="D3792" s="27"/>
      <c r="E3792" s="14">
        <f>E10+E30+E49+E75+E117+E126+E134+E157+E169+E209+E222+E235+E242+E248+E274+E319+E342+E354+E398+E411+E422+E442+E472+E479+E503+E525+E535+E553+E565+E585+E595+E650+E656+E692+E720+E741+E760+E777+E805+E811+E817+E870+E910+E919+E927+E967+E1034+E1077+E1083+E1089+E1097+E1118+E1127+E1158+E1174+E1180+E1186+E1221+E1244+E1253+E1271+E1282+E1293+E1316+E1326+E1340+E1379+E1388+E1399+E1405+E1451+E1461+E1470+E1486+E1506+E1517+E1527+E1548+E1558+E1569+E1580+E1617+E1629+E1640+E1649+E1660+E1673+E1697+E1703+E1711+E1733+E1747+E1767+E1778+E1787+E1805+E1817+E1827+E1850+E1860+E1873+E1885+E1910+E1967+E1978+E2081+E2090+E2099+E2116+E2161+E2170+E2275+E2285+E2292+E2332+E2343+E2349+E2370+E2378+E2391+E2407+E2424+E2433+E2445+E2454+E2467+E2489+E2495+E2531+E2543+E2555+E2591+E2602+E2608+E2635+E2644+E2656+E2679+E2686+E2697+E2706+E2727+E2750+E2756+E2797+E2809+E2817+E2861+E2872+E2878+E2899+E2907+E2918+E2962+E2971+E2983+E2992+E3004+E3031+E3037+E3075+E3084+E3093+E3129+E3141+E3147+E3164+E3174+E3187+E3229+E3239+E3251+E3260+E3272+E3294+E3300+E3335+E3344+E3352+E3392+E3403+E3409+E3427+E3437+E3450+E3497+E3504+E3516+E3525+E3545+E3567+E3573+E3582+E3594+E3643+E3649+E3659+E3671+E3681+E3703+E3713+E3773+E3785+E2259+E2506+E2784+E3065+E3327+E97+E1016+E1049+E1137+E2944+E3474+E2300+E2563+E3102+E3361+E511+E1354+E1233+E2839+E3206+E452+E1025+E1107+E3691+E3731+E2267</f>
        <v>62147843.246425018</v>
      </c>
    </row>
    <row r="3794" spans="1:7" x14ac:dyDescent="0.25">
      <c r="A3794" s="4" t="s">
        <v>1560</v>
      </c>
      <c r="B3794" s="4" t="s">
        <v>4</v>
      </c>
      <c r="C3794" s="4" t="s">
        <v>4</v>
      </c>
      <c r="E3794" s="15">
        <f>E3791-E3792</f>
        <v>3.5749822854995728E-3</v>
      </c>
    </row>
    <row r="3796" spans="1:7" x14ac:dyDescent="0.25">
      <c r="F3796" s="27"/>
      <c r="G3796" s="27"/>
    </row>
    <row r="3797" spans="1:7" x14ac:dyDescent="0.25">
      <c r="A3797" s="27" t="s">
        <v>1561</v>
      </c>
      <c r="B3797" s="27"/>
    </row>
    <row r="3798" spans="1:7" x14ac:dyDescent="0.25">
      <c r="A3798" s="33" t="s">
        <v>19</v>
      </c>
      <c r="B3798" s="27">
        <v>1.4500000000000001E-2</v>
      </c>
    </row>
    <row r="3799" spans="1:7" x14ac:dyDescent="0.25">
      <c r="A3799" s="33" t="s">
        <v>40</v>
      </c>
      <c r="B3799" s="34">
        <v>0.03</v>
      </c>
    </row>
    <row r="3800" spans="1:7" x14ac:dyDescent="0.25">
      <c r="A3800" s="27" t="s">
        <v>1562</v>
      </c>
      <c r="B3800" s="27"/>
    </row>
    <row r="3801" spans="1:7" x14ac:dyDescent="0.25">
      <c r="A3801" s="33" t="s">
        <v>17</v>
      </c>
      <c r="B3801" s="34">
        <v>6.2E-2</v>
      </c>
    </row>
    <row r="3802" spans="1:7" x14ac:dyDescent="0.25">
      <c r="A3802" s="33" t="s">
        <v>19</v>
      </c>
      <c r="B3802" s="27">
        <v>1.4500000000000001E-2</v>
      </c>
    </row>
    <row r="3803" spans="1:7" x14ac:dyDescent="0.25">
      <c r="A3803" s="33" t="s">
        <v>21</v>
      </c>
      <c r="B3803" s="35">
        <v>0.2334</v>
      </c>
    </row>
    <row r="3804" spans="1:7" x14ac:dyDescent="0.25">
      <c r="A3804" s="33"/>
      <c r="B3804" s="27"/>
    </row>
    <row r="3805" spans="1:7" x14ac:dyDescent="0.25">
      <c r="A3805" s="33"/>
      <c r="B3805" s="27"/>
    </row>
    <row r="3806" spans="1:7" x14ac:dyDescent="0.25">
      <c r="A3806" s="27"/>
    </row>
    <row r="3808" spans="1:7" x14ac:dyDescent="0.25">
      <c r="A3808"/>
      <c r="B3808"/>
      <c r="C3808"/>
      <c r="D3808"/>
    </row>
    <row r="3809" spans="1:7" x14ac:dyDescent="0.25">
      <c r="A3809"/>
      <c r="B3809"/>
      <c r="C3809"/>
      <c r="D3809"/>
    </row>
    <row r="3810" spans="1:7" x14ac:dyDescent="0.25">
      <c r="A3810"/>
      <c r="B3810"/>
      <c r="C3810"/>
      <c r="D3810"/>
    </row>
    <row r="3811" spans="1:7" x14ac:dyDescent="0.25">
      <c r="A3811"/>
      <c r="B3811"/>
      <c r="C3811"/>
      <c r="D3811"/>
    </row>
    <row r="3812" spans="1:7" x14ac:dyDescent="0.25">
      <c r="A3812"/>
      <c r="B3812"/>
      <c r="C3812"/>
      <c r="D3812"/>
    </row>
    <row r="3813" spans="1:7" x14ac:dyDescent="0.25">
      <c r="A3813"/>
      <c r="B3813"/>
      <c r="C3813"/>
      <c r="D3813"/>
    </row>
    <row r="3814" spans="1:7" x14ac:dyDescent="0.25">
      <c r="A3814"/>
      <c r="B3814"/>
      <c r="C3814"/>
      <c r="D3814"/>
    </row>
    <row r="3815" spans="1:7" x14ac:dyDescent="0.25">
      <c r="A3815"/>
      <c r="B3815"/>
      <c r="C3815"/>
      <c r="D3815"/>
    </row>
    <row r="3816" spans="1:7" x14ac:dyDescent="0.25">
      <c r="A3816"/>
      <c r="B3816"/>
      <c r="C3816"/>
      <c r="D3816"/>
    </row>
    <row r="3817" spans="1:7" x14ac:dyDescent="0.25">
      <c r="A3817"/>
      <c r="B3817"/>
      <c r="C3817"/>
      <c r="D3817"/>
    </row>
    <row r="3818" spans="1:7" x14ac:dyDescent="0.25">
      <c r="A3818" t="s">
        <v>4</v>
      </c>
      <c r="B3818"/>
      <c r="C3818"/>
      <c r="D3818"/>
    </row>
    <row r="3819" spans="1:7" x14ac:dyDescent="0.25">
      <c r="A3819"/>
      <c r="B3819"/>
      <c r="C3819"/>
      <c r="D3819"/>
    </row>
    <row r="3820" spans="1:7" x14ac:dyDescent="0.25">
      <c r="A3820"/>
      <c r="B3820"/>
      <c r="C3820"/>
      <c r="D3820"/>
      <c r="G3820" s="5"/>
    </row>
    <row r="3821" spans="1:7" x14ac:dyDescent="0.25">
      <c r="A3821"/>
      <c r="B3821"/>
      <c r="C3821"/>
      <c r="D3821"/>
      <c r="G3821" s="5"/>
    </row>
    <row r="3822" spans="1:7" x14ac:dyDescent="0.25">
      <c r="A3822"/>
      <c r="B3822"/>
      <c r="C3822"/>
      <c r="D3822"/>
      <c r="G3822" s="5"/>
    </row>
    <row r="3823" spans="1:7" x14ac:dyDescent="0.25">
      <c r="A3823"/>
      <c r="B3823"/>
      <c r="C3823"/>
      <c r="D3823"/>
      <c r="G3823" s="5"/>
    </row>
    <row r="3824" spans="1:7" x14ac:dyDescent="0.25">
      <c r="A3824" s="21"/>
      <c r="B3824"/>
      <c r="C3824"/>
      <c r="D3824"/>
      <c r="G3824" s="5"/>
    </row>
    <row r="3825" spans="1:7" x14ac:dyDescent="0.25">
      <c r="A3825" s="21"/>
      <c r="B3825"/>
      <c r="C3825"/>
      <c r="D3825"/>
      <c r="G3825" s="5"/>
    </row>
    <row r="3826" spans="1:7" x14ac:dyDescent="0.25">
      <c r="A3826"/>
      <c r="B3826"/>
      <c r="C3826"/>
      <c r="D3826"/>
      <c r="G3826" s="5"/>
    </row>
    <row r="3827" spans="1:7" x14ac:dyDescent="0.25">
      <c r="A3827"/>
      <c r="B3827"/>
      <c r="C3827"/>
      <c r="D3827"/>
      <c r="G3827" s="5"/>
    </row>
    <row r="3828" spans="1:7" x14ac:dyDescent="0.25">
      <c r="A3828"/>
      <c r="B3828"/>
      <c r="C3828"/>
      <c r="D3828"/>
      <c r="G3828" s="5"/>
    </row>
    <row r="3829" spans="1:7" x14ac:dyDescent="0.25">
      <c r="A3829"/>
      <c r="B3829"/>
      <c r="C3829"/>
      <c r="D3829"/>
      <c r="G3829" s="5"/>
    </row>
    <row r="3830" spans="1:7" x14ac:dyDescent="0.25">
      <c r="A3830"/>
      <c r="B3830"/>
      <c r="C3830"/>
      <c r="D3830"/>
      <c r="G3830" s="5"/>
    </row>
    <row r="3831" spans="1:7" x14ac:dyDescent="0.25">
      <c r="A3831"/>
      <c r="B3831"/>
      <c r="C3831"/>
      <c r="D3831"/>
      <c r="G3831" s="5"/>
    </row>
    <row r="3832" spans="1:7" x14ac:dyDescent="0.25">
      <c r="D3832"/>
      <c r="G3832" s="5"/>
    </row>
    <row r="3833" spans="1:7" x14ac:dyDescent="0.25">
      <c r="A3833"/>
      <c r="B3833"/>
      <c r="C3833"/>
      <c r="D3833"/>
      <c r="G3833" s="5"/>
    </row>
    <row r="3834" spans="1:7" x14ac:dyDescent="0.25">
      <c r="A3834"/>
      <c r="B3834"/>
      <c r="C3834"/>
      <c r="D3834"/>
      <c r="G3834" s="5"/>
    </row>
    <row r="3835" spans="1:7" x14ac:dyDescent="0.25">
      <c r="A3835"/>
      <c r="B3835"/>
      <c r="C3835"/>
      <c r="D3835"/>
      <c r="G3835" s="5"/>
    </row>
    <row r="3836" spans="1:7" x14ac:dyDescent="0.25">
      <c r="A3836"/>
      <c r="B3836"/>
      <c r="G3836" s="5"/>
    </row>
    <row r="3837" spans="1:7" x14ac:dyDescent="0.25">
      <c r="A3837"/>
      <c r="B3837"/>
      <c r="C3837"/>
      <c r="D3837"/>
      <c r="G3837" s="5"/>
    </row>
    <row r="3838" spans="1:7" x14ac:dyDescent="0.25">
      <c r="A3838"/>
      <c r="B3838"/>
      <c r="C3838"/>
      <c r="D3838"/>
      <c r="G3838" s="5"/>
    </row>
    <row r="3839" spans="1:7" x14ac:dyDescent="0.25">
      <c r="A3839"/>
      <c r="B3839"/>
      <c r="C3839"/>
      <c r="D3839"/>
      <c r="G3839" s="5"/>
    </row>
    <row r="3840" spans="1:7" x14ac:dyDescent="0.25">
      <c r="B3840"/>
      <c r="C3840"/>
      <c r="D3840"/>
      <c r="G3840" s="5"/>
    </row>
    <row r="3841" spans="1:7" x14ac:dyDescent="0.25">
      <c r="A3841"/>
      <c r="B3841"/>
      <c r="C3841"/>
      <c r="D3841"/>
      <c r="G3841" s="5"/>
    </row>
    <row r="3842" spans="1:7" x14ac:dyDescent="0.25">
      <c r="A3842"/>
      <c r="B3842"/>
      <c r="C3842"/>
      <c r="D3842"/>
      <c r="G3842" s="5"/>
    </row>
    <row r="3843" spans="1:7" x14ac:dyDescent="0.25">
      <c r="A3843" s="36"/>
      <c r="B3843"/>
      <c r="C3843"/>
      <c r="D3843"/>
      <c r="G3843" s="5"/>
    </row>
    <row r="3844" spans="1:7" x14ac:dyDescent="0.25">
      <c r="A3844" s="36"/>
      <c r="B3844"/>
      <c r="C3844"/>
      <c r="D3844"/>
      <c r="G3844" s="5"/>
    </row>
    <row r="3845" spans="1:7" x14ac:dyDescent="0.25">
      <c r="A3845" s="36"/>
      <c r="B3845"/>
      <c r="C3845"/>
      <c r="D3845"/>
      <c r="G3845" s="5"/>
    </row>
    <row r="3846" spans="1:7" x14ac:dyDescent="0.25">
      <c r="A3846" s="36"/>
      <c r="B3846"/>
      <c r="C3846"/>
      <c r="D3846"/>
      <c r="G3846" s="5"/>
    </row>
    <row r="3847" spans="1:7" x14ac:dyDescent="0.25">
      <c r="A3847" s="36"/>
      <c r="B3847"/>
      <c r="C3847"/>
      <c r="D3847"/>
    </row>
    <row r="3848" spans="1:7" x14ac:dyDescent="0.25">
      <c r="A3848" s="36"/>
      <c r="B3848"/>
      <c r="C3848"/>
      <c r="D3848"/>
      <c r="G3848" s="5"/>
    </row>
    <row r="3849" spans="1:7" x14ac:dyDescent="0.25">
      <c r="A3849" s="36"/>
      <c r="B3849"/>
      <c r="C3849"/>
      <c r="D3849"/>
    </row>
    <row r="3850" spans="1:7" x14ac:dyDescent="0.25">
      <c r="A3850" s="36"/>
      <c r="B3850"/>
      <c r="C3850"/>
      <c r="D3850"/>
    </row>
    <row r="3851" spans="1:7" x14ac:dyDescent="0.25">
      <c r="A3851"/>
      <c r="B3851"/>
      <c r="C3851"/>
      <c r="D3851"/>
      <c r="E3851" s="4"/>
    </row>
    <row r="3852" spans="1:7" x14ac:dyDescent="0.25">
      <c r="A3852"/>
      <c r="B3852"/>
      <c r="C3852"/>
      <c r="D3852"/>
      <c r="E3852" s="4"/>
    </row>
    <row r="3853" spans="1:7" x14ac:dyDescent="0.25">
      <c r="A3853"/>
      <c r="B3853"/>
      <c r="C3853"/>
      <c r="D3853"/>
      <c r="E3853" s="4"/>
    </row>
    <row r="3854" spans="1:7" x14ac:dyDescent="0.25">
      <c r="B3854"/>
      <c r="C3854"/>
      <c r="D3854"/>
      <c r="E3854" s="4"/>
    </row>
    <row r="3855" spans="1:7" x14ac:dyDescent="0.25">
      <c r="A3855"/>
      <c r="B3855"/>
      <c r="C3855"/>
      <c r="D3855"/>
      <c r="E3855" s="4"/>
    </row>
    <row r="3856" spans="1:7" x14ac:dyDescent="0.25">
      <c r="A3856"/>
      <c r="B3856"/>
      <c r="C3856"/>
      <c r="D3856"/>
      <c r="E3856" s="4"/>
    </row>
    <row r="3857" spans="1:5" x14ac:dyDescent="0.25">
      <c r="A3857"/>
      <c r="B3857"/>
      <c r="C3857"/>
      <c r="D3857"/>
      <c r="E3857" s="4"/>
    </row>
    <row r="3858" spans="1:5" x14ac:dyDescent="0.25">
      <c r="A3858"/>
      <c r="B3858"/>
      <c r="C3858"/>
      <c r="D3858"/>
      <c r="E3858" s="4"/>
    </row>
    <row r="3859" spans="1:5" x14ac:dyDescent="0.25">
      <c r="A3859"/>
      <c r="B3859"/>
      <c r="C3859"/>
      <c r="D3859"/>
      <c r="E3859" s="4"/>
    </row>
    <row r="3860" spans="1:5" x14ac:dyDescent="0.25">
      <c r="A3860"/>
      <c r="B3860"/>
      <c r="C3860"/>
      <c r="D3860"/>
      <c r="E3860" s="4"/>
    </row>
    <row r="3861" spans="1:5" x14ac:dyDescent="0.25">
      <c r="E3861" s="4"/>
    </row>
    <row r="3862" spans="1:5" x14ac:dyDescent="0.25">
      <c r="E3862" s="4"/>
    </row>
    <row r="3863" spans="1:5" x14ac:dyDescent="0.25">
      <c r="E3863" s="4"/>
    </row>
    <row r="3864" spans="1:5" x14ac:dyDescent="0.25">
      <c r="E3864" s="4"/>
    </row>
    <row r="3865" spans="1:5" x14ac:dyDescent="0.25">
      <c r="E3865" s="4"/>
    </row>
    <row r="3866" spans="1:5" x14ac:dyDescent="0.25">
      <c r="A3866"/>
      <c r="B3866"/>
      <c r="C3866"/>
      <c r="D3866"/>
      <c r="E3866" s="4"/>
    </row>
    <row r="3867" spans="1:5" x14ac:dyDescent="0.25">
      <c r="A3867"/>
      <c r="B3867"/>
      <c r="C3867"/>
      <c r="D3867"/>
    </row>
    <row r="3868" spans="1:5" x14ac:dyDescent="0.25">
      <c r="A3868"/>
      <c r="B3868"/>
      <c r="C3868"/>
      <c r="D3868"/>
    </row>
    <row r="3870" spans="1:5" x14ac:dyDescent="0.25">
      <c r="A3870" s="27"/>
    </row>
    <row r="3871" spans="1:5" x14ac:dyDescent="0.25">
      <c r="A3871" s="21"/>
    </row>
    <row r="3872" spans="1:5" x14ac:dyDescent="0.25">
      <c r="A3872" s="21"/>
    </row>
    <row r="3873" spans="1:5" x14ac:dyDescent="0.25">
      <c r="A3873" s="21"/>
    </row>
    <row r="3874" spans="1:5" x14ac:dyDescent="0.25">
      <c r="A3874" s="21"/>
    </row>
    <row r="3875" spans="1:5" x14ac:dyDescent="0.25">
      <c r="A3875" s="21"/>
      <c r="E3875" s="4"/>
    </row>
    <row r="3876" spans="1:5" x14ac:dyDescent="0.25">
      <c r="A3876" s="21"/>
      <c r="E3876" s="4"/>
    </row>
    <row r="3877" spans="1:5" x14ac:dyDescent="0.25">
      <c r="A3877" s="21"/>
      <c r="E3877" s="4"/>
    </row>
    <row r="3878" spans="1:5" x14ac:dyDescent="0.25">
      <c r="A3878" s="21"/>
      <c r="E3878" s="4"/>
    </row>
    <row r="3879" spans="1:5" x14ac:dyDescent="0.25">
      <c r="A3879" s="21"/>
      <c r="E3879" s="4"/>
    </row>
    <row r="3880" spans="1:5" x14ac:dyDescent="0.25">
      <c r="A3880" s="21"/>
      <c r="E3880" s="4"/>
    </row>
    <row r="3881" spans="1:5" x14ac:dyDescent="0.25">
      <c r="A3881" s="21"/>
      <c r="E3881" s="4"/>
    </row>
    <row r="3882" spans="1:5" x14ac:dyDescent="0.25">
      <c r="A3882" s="21"/>
      <c r="E3882" s="4"/>
    </row>
    <row r="3883" spans="1:5" x14ac:dyDescent="0.25">
      <c r="A3883" s="21"/>
    </row>
    <row r="3887" spans="1:5" x14ac:dyDescent="0.25">
      <c r="E3887" s="4"/>
    </row>
    <row r="3888" spans="1:5" x14ac:dyDescent="0.25">
      <c r="E3888" s="4"/>
    </row>
  </sheetData>
  <pageMargins left="0" right="0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2023-09-05T20:40:49Z</cp:lastPrinted>
  <dcterms:created xsi:type="dcterms:W3CDTF">2023-09-05T20:35:14Z</dcterms:created>
  <dcterms:modified xsi:type="dcterms:W3CDTF">2023-09-07T11:46:42Z</dcterms:modified>
</cp:coreProperties>
</file>