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26B8C5A7-D4E0-4FB3-ACA4-CED92A7FD2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fit and Loss by Cla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8" i="1" l="1"/>
  <c r="AA68" i="1"/>
  <c r="J68" i="1"/>
  <c r="I68" i="1"/>
  <c r="H68" i="1"/>
  <c r="C68" i="1"/>
  <c r="B68" i="1"/>
  <c r="AA67" i="1"/>
  <c r="Z67" i="1"/>
  <c r="Z68" i="1" s="1"/>
  <c r="Y67" i="1"/>
  <c r="Y68" i="1" s="1"/>
  <c r="X67" i="1"/>
  <c r="X68" i="1" s="1"/>
  <c r="W67" i="1"/>
  <c r="W68" i="1" s="1"/>
  <c r="V67" i="1"/>
  <c r="V68" i="1" s="1"/>
  <c r="U67" i="1"/>
  <c r="U68" i="1" s="1"/>
  <c r="T67" i="1"/>
  <c r="T68" i="1" s="1"/>
  <c r="S67" i="1"/>
  <c r="S68" i="1" s="1"/>
  <c r="R67" i="1"/>
  <c r="R68" i="1" s="1"/>
  <c r="Q67" i="1"/>
  <c r="Q68" i="1" s="1"/>
  <c r="P67" i="1"/>
  <c r="P68" i="1" s="1"/>
  <c r="O67" i="1"/>
  <c r="O68" i="1" s="1"/>
  <c r="N67" i="1"/>
  <c r="N68" i="1" s="1"/>
  <c r="M67" i="1"/>
  <c r="M68" i="1" s="1"/>
  <c r="L67" i="1"/>
  <c r="L68" i="1" s="1"/>
  <c r="K67" i="1"/>
  <c r="K68" i="1" s="1"/>
  <c r="I67" i="1"/>
  <c r="H67" i="1"/>
  <c r="G67" i="1"/>
  <c r="G68" i="1" s="1"/>
  <c r="F67" i="1"/>
  <c r="F68" i="1" s="1"/>
  <c r="E67" i="1"/>
  <c r="E68" i="1" s="1"/>
  <c r="D67" i="1"/>
  <c r="D68" i="1" s="1"/>
  <c r="C67" i="1"/>
  <c r="AA66" i="1"/>
  <c r="AC66" i="1" s="1"/>
  <c r="AC65" i="1"/>
  <c r="AB64" i="1"/>
  <c r="AA64" i="1"/>
  <c r="X64" i="1"/>
  <c r="T64" i="1"/>
  <c r="S64" i="1"/>
  <c r="Q64" i="1"/>
  <c r="O64" i="1"/>
  <c r="L64" i="1"/>
  <c r="J64" i="1"/>
  <c r="I64" i="1"/>
  <c r="H64" i="1"/>
  <c r="G64" i="1"/>
  <c r="F64" i="1"/>
  <c r="D64" i="1"/>
  <c r="AC63" i="1"/>
  <c r="B63" i="1"/>
  <c r="AA62" i="1"/>
  <c r="W62" i="1"/>
  <c r="U62" i="1"/>
  <c r="K62" i="1"/>
  <c r="K64" i="1" s="1"/>
  <c r="B62" i="1"/>
  <c r="AC62" i="1" s="1"/>
  <c r="AA61" i="1"/>
  <c r="W61" i="1"/>
  <c r="V61" i="1"/>
  <c r="U61" i="1"/>
  <c r="R61" i="1"/>
  <c r="R64" i="1" s="1"/>
  <c r="P61" i="1"/>
  <c r="P64" i="1" s="1"/>
  <c r="N61" i="1"/>
  <c r="N64" i="1" s="1"/>
  <c r="E61" i="1"/>
  <c r="C61" i="1"/>
  <c r="B61" i="1"/>
  <c r="AA60" i="1"/>
  <c r="Z60" i="1"/>
  <c r="Z64" i="1" s="1"/>
  <c r="Y60" i="1"/>
  <c r="V60" i="1"/>
  <c r="V64" i="1" s="1"/>
  <c r="U60" i="1"/>
  <c r="E60" i="1"/>
  <c r="C60" i="1"/>
  <c r="C64" i="1" s="1"/>
  <c r="B60" i="1"/>
  <c r="AC60" i="1" s="1"/>
  <c r="AA59" i="1"/>
  <c r="Y59" i="1"/>
  <c r="W59" i="1"/>
  <c r="U59" i="1"/>
  <c r="M59" i="1"/>
  <c r="M64" i="1" s="1"/>
  <c r="E59" i="1"/>
  <c r="E64" i="1" s="1"/>
  <c r="C59" i="1"/>
  <c r="AC58" i="1"/>
  <c r="AB57" i="1"/>
  <c r="Y57" i="1"/>
  <c r="X57" i="1"/>
  <c r="T57" i="1"/>
  <c r="S57" i="1"/>
  <c r="R57" i="1"/>
  <c r="Q57" i="1"/>
  <c r="O57" i="1"/>
  <c r="M57" i="1"/>
  <c r="L57" i="1"/>
  <c r="K57" i="1"/>
  <c r="J57" i="1"/>
  <c r="I57" i="1"/>
  <c r="H57" i="1"/>
  <c r="D57" i="1"/>
  <c r="AA56" i="1"/>
  <c r="AA57" i="1" s="1"/>
  <c r="Y56" i="1"/>
  <c r="W56" i="1"/>
  <c r="V56" i="1"/>
  <c r="U56" i="1"/>
  <c r="P56" i="1"/>
  <c r="G56" i="1"/>
  <c r="G57" i="1" s="1"/>
  <c r="F56" i="1"/>
  <c r="E56" i="1"/>
  <c r="C56" i="1"/>
  <c r="B56" i="1"/>
  <c r="Z55" i="1"/>
  <c r="Z57" i="1" s="1"/>
  <c r="C55" i="1"/>
  <c r="B55" i="1"/>
  <c r="W54" i="1"/>
  <c r="W57" i="1" s="1"/>
  <c r="V54" i="1"/>
  <c r="U54" i="1"/>
  <c r="P54" i="1"/>
  <c r="P57" i="1" s="1"/>
  <c r="N54" i="1"/>
  <c r="N57" i="1" s="1"/>
  <c r="F54" i="1"/>
  <c r="F57" i="1" s="1"/>
  <c r="E54" i="1"/>
  <c r="C54" i="1"/>
  <c r="B54" i="1"/>
  <c r="U53" i="1"/>
  <c r="E53" i="1"/>
  <c r="E57" i="1" s="1"/>
  <c r="B53" i="1"/>
  <c r="AC52" i="1"/>
  <c r="AB51" i="1"/>
  <c r="Z51" i="1"/>
  <c r="X51" i="1"/>
  <c r="V51" i="1"/>
  <c r="T51" i="1"/>
  <c r="S51" i="1"/>
  <c r="R51" i="1"/>
  <c r="Q51" i="1"/>
  <c r="O51" i="1"/>
  <c r="N51" i="1"/>
  <c r="M51" i="1"/>
  <c r="L51" i="1"/>
  <c r="K51" i="1"/>
  <c r="J51" i="1"/>
  <c r="I51" i="1"/>
  <c r="G51" i="1"/>
  <c r="F51" i="1"/>
  <c r="D51" i="1"/>
  <c r="C51" i="1"/>
  <c r="AA50" i="1"/>
  <c r="AA51" i="1" s="1"/>
  <c r="W50" i="1"/>
  <c r="E50" i="1"/>
  <c r="AC49" i="1"/>
  <c r="E49" i="1"/>
  <c r="AA48" i="1"/>
  <c r="Y48" i="1"/>
  <c r="Y51" i="1" s="1"/>
  <c r="W48" i="1"/>
  <c r="U48" i="1"/>
  <c r="U51" i="1" s="1"/>
  <c r="P48" i="1"/>
  <c r="P51" i="1" s="1"/>
  <c r="N48" i="1"/>
  <c r="H48" i="1"/>
  <c r="H51" i="1" s="1"/>
  <c r="E48" i="1"/>
  <c r="C48" i="1"/>
  <c r="B48" i="1"/>
  <c r="E47" i="1"/>
  <c r="B47" i="1"/>
  <c r="E46" i="1"/>
  <c r="AC46" i="1" s="1"/>
  <c r="B46" i="1"/>
  <c r="E45" i="1"/>
  <c r="B45" i="1"/>
  <c r="E44" i="1"/>
  <c r="B44" i="1"/>
  <c r="B51" i="1" s="1"/>
  <c r="E43" i="1"/>
  <c r="AC43" i="1" s="1"/>
  <c r="AC42" i="1"/>
  <c r="Y41" i="1"/>
  <c r="W41" i="1"/>
  <c r="P41" i="1"/>
  <c r="G41" i="1"/>
  <c r="AC41" i="1" s="1"/>
  <c r="E41" i="1"/>
  <c r="B41" i="1"/>
  <c r="AB40" i="1"/>
  <c r="AA40" i="1"/>
  <c r="Z40" i="1"/>
  <c r="X40" i="1"/>
  <c r="T40" i="1"/>
  <c r="S40" i="1"/>
  <c r="R40" i="1"/>
  <c r="Q40" i="1"/>
  <c r="P40" i="1"/>
  <c r="O40" i="1"/>
  <c r="N40" i="1"/>
  <c r="M40" i="1"/>
  <c r="K40" i="1"/>
  <c r="J40" i="1"/>
  <c r="I40" i="1"/>
  <c r="D40" i="1"/>
  <c r="W39" i="1"/>
  <c r="W40" i="1" s="1"/>
  <c r="V39" i="1"/>
  <c r="V40" i="1" s="1"/>
  <c r="U39" i="1"/>
  <c r="P39" i="1"/>
  <c r="L39" i="1"/>
  <c r="L40" i="1" s="1"/>
  <c r="H39" i="1"/>
  <c r="H40" i="1" s="1"/>
  <c r="G39" i="1"/>
  <c r="G40" i="1" s="1"/>
  <c r="F39" i="1"/>
  <c r="F40" i="1" s="1"/>
  <c r="E39" i="1"/>
  <c r="C39" i="1"/>
  <c r="B39" i="1"/>
  <c r="E38" i="1"/>
  <c r="B38" i="1"/>
  <c r="Y37" i="1"/>
  <c r="Y40" i="1" s="1"/>
  <c r="U37" i="1"/>
  <c r="C37" i="1"/>
  <c r="C40" i="1" s="1"/>
  <c r="B37" i="1"/>
  <c r="B40" i="1" s="1"/>
  <c r="AC36" i="1"/>
  <c r="Z35" i="1"/>
  <c r="T35" i="1"/>
  <c r="K35" i="1"/>
  <c r="J35" i="1"/>
  <c r="AA34" i="1"/>
  <c r="Y34" i="1"/>
  <c r="X34" i="1"/>
  <c r="W34" i="1"/>
  <c r="V34" i="1"/>
  <c r="U34" i="1"/>
  <c r="R34" i="1"/>
  <c r="R35" i="1" s="1"/>
  <c r="P34" i="1"/>
  <c r="AC34" i="1" s="1"/>
  <c r="G34" i="1"/>
  <c r="F34" i="1"/>
  <c r="C34" i="1"/>
  <c r="AA33" i="1"/>
  <c r="Y33" i="1"/>
  <c r="W33" i="1"/>
  <c r="V33" i="1"/>
  <c r="R33" i="1"/>
  <c r="P33" i="1"/>
  <c r="N33" i="1"/>
  <c r="M33" i="1"/>
  <c r="L33" i="1"/>
  <c r="I33" i="1"/>
  <c r="H33" i="1"/>
  <c r="F33" i="1"/>
  <c r="E33" i="1"/>
  <c r="C33" i="1"/>
  <c r="AB32" i="1"/>
  <c r="AB35" i="1" s="1"/>
  <c r="B32" i="1"/>
  <c r="AA31" i="1"/>
  <c r="Y31" i="1"/>
  <c r="X31" i="1"/>
  <c r="W31" i="1"/>
  <c r="V31" i="1"/>
  <c r="U31" i="1"/>
  <c r="R31" i="1"/>
  <c r="P31" i="1"/>
  <c r="G31" i="1"/>
  <c r="F31" i="1"/>
  <c r="C31" i="1"/>
  <c r="AC31" i="1" s="1"/>
  <c r="W30" i="1"/>
  <c r="U30" i="1"/>
  <c r="S30" i="1"/>
  <c r="Q30" i="1"/>
  <c r="Q35" i="1" s="1"/>
  <c r="P30" i="1"/>
  <c r="M30" i="1"/>
  <c r="I30" i="1"/>
  <c r="E30" i="1"/>
  <c r="C30" i="1"/>
  <c r="B30" i="1"/>
  <c r="AA29" i="1"/>
  <c r="Y29" i="1"/>
  <c r="X29" i="1"/>
  <c r="W29" i="1"/>
  <c r="V29" i="1"/>
  <c r="U29" i="1"/>
  <c r="S29" i="1"/>
  <c r="R29" i="1"/>
  <c r="P29" i="1"/>
  <c r="N29" i="1"/>
  <c r="M29" i="1"/>
  <c r="L29" i="1"/>
  <c r="H29" i="1"/>
  <c r="G29" i="1"/>
  <c r="F29" i="1"/>
  <c r="E29" i="1"/>
  <c r="C29" i="1"/>
  <c r="B29" i="1"/>
  <c r="AA28" i="1"/>
  <c r="Y28" i="1"/>
  <c r="X28" i="1"/>
  <c r="W28" i="1"/>
  <c r="V28" i="1"/>
  <c r="U28" i="1"/>
  <c r="S28" i="1"/>
  <c r="R28" i="1"/>
  <c r="Q28" i="1"/>
  <c r="P28" i="1"/>
  <c r="O28" i="1"/>
  <c r="O35" i="1" s="1"/>
  <c r="N28" i="1"/>
  <c r="N35" i="1" s="1"/>
  <c r="M28" i="1"/>
  <c r="L28" i="1"/>
  <c r="I28" i="1"/>
  <c r="H28" i="1"/>
  <c r="G28" i="1"/>
  <c r="F28" i="1"/>
  <c r="E28" i="1"/>
  <c r="D28" i="1"/>
  <c r="C28" i="1"/>
  <c r="B28" i="1"/>
  <c r="W27" i="1"/>
  <c r="U27" i="1"/>
  <c r="S27" i="1"/>
  <c r="Q27" i="1"/>
  <c r="P27" i="1"/>
  <c r="M27" i="1"/>
  <c r="I27" i="1"/>
  <c r="E27" i="1"/>
  <c r="D27" i="1"/>
  <c r="D35" i="1" s="1"/>
  <c r="C27" i="1"/>
  <c r="B27" i="1"/>
  <c r="AA26" i="1"/>
  <c r="Y26" i="1"/>
  <c r="X26" i="1"/>
  <c r="X35" i="1" s="1"/>
  <c r="W26" i="1"/>
  <c r="W35" i="1" s="1"/>
  <c r="V26" i="1"/>
  <c r="V35" i="1" s="1"/>
  <c r="U26" i="1"/>
  <c r="R26" i="1"/>
  <c r="P26" i="1"/>
  <c r="G26" i="1"/>
  <c r="G35" i="1" s="1"/>
  <c r="F26" i="1"/>
  <c r="F35" i="1" s="1"/>
  <c r="C26" i="1"/>
  <c r="AC25" i="1"/>
  <c r="AB24" i="1"/>
  <c r="Z24" i="1"/>
  <c r="Y24" i="1"/>
  <c r="X24" i="1"/>
  <c r="T24" i="1"/>
  <c r="O24" i="1"/>
  <c r="K24" i="1"/>
  <c r="J24" i="1"/>
  <c r="I24" i="1"/>
  <c r="F24" i="1"/>
  <c r="W23" i="1"/>
  <c r="U23" i="1"/>
  <c r="S23" i="1"/>
  <c r="Q23" i="1"/>
  <c r="Q24" i="1" s="1"/>
  <c r="P23" i="1"/>
  <c r="P24" i="1" s="1"/>
  <c r="M23" i="1"/>
  <c r="I23" i="1"/>
  <c r="E23" i="1"/>
  <c r="D23" i="1"/>
  <c r="D24" i="1" s="1"/>
  <c r="C23" i="1"/>
  <c r="B23" i="1"/>
  <c r="AC23" i="1" s="1"/>
  <c r="AA22" i="1"/>
  <c r="AA24" i="1" s="1"/>
  <c r="Y22" i="1"/>
  <c r="X22" i="1"/>
  <c r="W22" i="1"/>
  <c r="W24" i="1" s="1"/>
  <c r="V22" i="1"/>
  <c r="V24" i="1" s="1"/>
  <c r="U22" i="1"/>
  <c r="U24" i="1" s="1"/>
  <c r="S22" i="1"/>
  <c r="S24" i="1" s="1"/>
  <c r="R22" i="1"/>
  <c r="R24" i="1" s="1"/>
  <c r="P22" i="1"/>
  <c r="O22" i="1"/>
  <c r="N22" i="1"/>
  <c r="N24" i="1" s="1"/>
  <c r="M22" i="1"/>
  <c r="M24" i="1" s="1"/>
  <c r="L22" i="1"/>
  <c r="L24" i="1" s="1"/>
  <c r="H22" i="1"/>
  <c r="H24" i="1" s="1"/>
  <c r="G22" i="1"/>
  <c r="G24" i="1" s="1"/>
  <c r="F22" i="1"/>
  <c r="E22" i="1"/>
  <c r="E24" i="1" s="1"/>
  <c r="C22" i="1"/>
  <c r="C24" i="1" s="1"/>
  <c r="B22" i="1"/>
  <c r="AC21" i="1"/>
  <c r="V18" i="1"/>
  <c r="V19" i="1" s="1"/>
  <c r="P18" i="1"/>
  <c r="P19" i="1" s="1"/>
  <c r="B17" i="1"/>
  <c r="AC17" i="1" s="1"/>
  <c r="AC16" i="1"/>
  <c r="B16" i="1"/>
  <c r="E15" i="1"/>
  <c r="AC15" i="1" s="1"/>
  <c r="AB14" i="1"/>
  <c r="AB18" i="1" s="1"/>
  <c r="AB19" i="1" s="1"/>
  <c r="AA14" i="1"/>
  <c r="AA18" i="1" s="1"/>
  <c r="AA19" i="1" s="1"/>
  <c r="Z14" i="1"/>
  <c r="Z18" i="1" s="1"/>
  <c r="Z19" i="1" s="1"/>
  <c r="Y14" i="1"/>
  <c r="Y18" i="1" s="1"/>
  <c r="Y19" i="1" s="1"/>
  <c r="X14" i="1"/>
  <c r="X18" i="1" s="1"/>
  <c r="X19" i="1" s="1"/>
  <c r="W14" i="1"/>
  <c r="W18" i="1" s="1"/>
  <c r="W19" i="1" s="1"/>
  <c r="V14" i="1"/>
  <c r="U14" i="1"/>
  <c r="U18" i="1" s="1"/>
  <c r="U19" i="1" s="1"/>
  <c r="T14" i="1"/>
  <c r="T18" i="1" s="1"/>
  <c r="T19" i="1" s="1"/>
  <c r="S14" i="1"/>
  <c r="S18" i="1" s="1"/>
  <c r="S19" i="1" s="1"/>
  <c r="R14" i="1"/>
  <c r="R18" i="1" s="1"/>
  <c r="R19" i="1" s="1"/>
  <c r="Q14" i="1"/>
  <c r="Q18" i="1" s="1"/>
  <c r="Q19" i="1" s="1"/>
  <c r="P14" i="1"/>
  <c r="O14" i="1"/>
  <c r="O18" i="1" s="1"/>
  <c r="O19" i="1" s="1"/>
  <c r="N14" i="1"/>
  <c r="N18" i="1" s="1"/>
  <c r="N19" i="1" s="1"/>
  <c r="M14" i="1"/>
  <c r="M18" i="1" s="1"/>
  <c r="M19" i="1" s="1"/>
  <c r="L14" i="1"/>
  <c r="L18" i="1" s="1"/>
  <c r="L19" i="1" s="1"/>
  <c r="I14" i="1"/>
  <c r="I18" i="1" s="1"/>
  <c r="I19" i="1" s="1"/>
  <c r="H14" i="1"/>
  <c r="H18" i="1" s="1"/>
  <c r="H19" i="1" s="1"/>
  <c r="G14" i="1"/>
  <c r="G18" i="1" s="1"/>
  <c r="G19" i="1" s="1"/>
  <c r="F14" i="1"/>
  <c r="F18" i="1" s="1"/>
  <c r="F19" i="1" s="1"/>
  <c r="E14" i="1"/>
  <c r="E18" i="1" s="1"/>
  <c r="E19" i="1" s="1"/>
  <c r="D14" i="1"/>
  <c r="D18" i="1" s="1"/>
  <c r="D19" i="1" s="1"/>
  <c r="C14" i="1"/>
  <c r="C18" i="1" s="1"/>
  <c r="C19" i="1" s="1"/>
  <c r="B13" i="1"/>
  <c r="AC13" i="1" s="1"/>
  <c r="B12" i="1"/>
  <c r="AC12" i="1" s="1"/>
  <c r="J11" i="1"/>
  <c r="AC11" i="1" s="1"/>
  <c r="K10" i="1"/>
  <c r="K14" i="1" s="1"/>
  <c r="K18" i="1" s="1"/>
  <c r="K19" i="1" s="1"/>
  <c r="J10" i="1"/>
  <c r="B9" i="1"/>
  <c r="AC9" i="1" s="1"/>
  <c r="AC8" i="1"/>
  <c r="B8" i="1"/>
  <c r="B14" i="1" s="1"/>
  <c r="B18" i="1" s="1"/>
  <c r="AC7" i="1"/>
  <c r="Q69" i="1" l="1"/>
  <c r="Q70" i="1" s="1"/>
  <c r="Q71" i="1" s="1"/>
  <c r="U35" i="1"/>
  <c r="U69" i="1" s="1"/>
  <c r="U70" i="1" s="1"/>
  <c r="U71" i="1" s="1"/>
  <c r="AC30" i="1"/>
  <c r="AC54" i="1"/>
  <c r="U57" i="1"/>
  <c r="J14" i="1"/>
  <c r="J18" i="1" s="1"/>
  <c r="J19" i="1" s="1"/>
  <c r="AC22" i="1"/>
  <c r="D69" i="1"/>
  <c r="J69" i="1"/>
  <c r="J70" i="1" s="1"/>
  <c r="J71" i="1" s="1"/>
  <c r="T69" i="1"/>
  <c r="P35" i="1"/>
  <c r="Y35" i="1"/>
  <c r="Y69" i="1" s="1"/>
  <c r="Y70" i="1" s="1"/>
  <c r="Y71" i="1" s="1"/>
  <c r="I35" i="1"/>
  <c r="I69" i="1" s="1"/>
  <c r="I70" i="1" s="1"/>
  <c r="I71" i="1" s="1"/>
  <c r="AC38" i="1"/>
  <c r="AC44" i="1"/>
  <c r="AC47" i="1"/>
  <c r="V57" i="1"/>
  <c r="V69" i="1" s="1"/>
  <c r="V70" i="1" s="1"/>
  <c r="V71" i="1" s="1"/>
  <c r="U64" i="1"/>
  <c r="T70" i="1"/>
  <c r="T71" i="1" s="1"/>
  <c r="S35" i="1"/>
  <c r="AA35" i="1"/>
  <c r="AA69" i="1" s="1"/>
  <c r="AA70" i="1" s="1"/>
  <c r="AA71" i="1" s="1"/>
  <c r="Z69" i="1"/>
  <c r="AC37" i="1"/>
  <c r="AC56" i="1"/>
  <c r="K70" i="1"/>
  <c r="K71" i="1" s="1"/>
  <c r="K69" i="1"/>
  <c r="AB69" i="1"/>
  <c r="AB70" i="1" s="1"/>
  <c r="AB71" i="1" s="1"/>
  <c r="M35" i="1"/>
  <c r="AC28" i="1"/>
  <c r="H35" i="1"/>
  <c r="H69" i="1" s="1"/>
  <c r="H70" i="1" s="1"/>
  <c r="H71" i="1" s="1"/>
  <c r="AC33" i="1"/>
  <c r="E40" i="1"/>
  <c r="AC45" i="1"/>
  <c r="W64" i="1"/>
  <c r="E51" i="1"/>
  <c r="AC51" i="1" s="1"/>
  <c r="D70" i="1"/>
  <c r="D71" i="1" s="1"/>
  <c r="AC48" i="1"/>
  <c r="AC50" i="1"/>
  <c r="B57" i="1"/>
  <c r="Y64" i="1"/>
  <c r="AC61" i="1"/>
  <c r="AC67" i="1"/>
  <c r="AC68" i="1"/>
  <c r="E35" i="1"/>
  <c r="E69" i="1" s="1"/>
  <c r="E70" i="1" s="1"/>
  <c r="E71" i="1" s="1"/>
  <c r="AC29" i="1"/>
  <c r="B24" i="1"/>
  <c r="AC24" i="1" s="1"/>
  <c r="L69" i="1"/>
  <c r="L70" i="1" s="1"/>
  <c r="L71" i="1" s="1"/>
  <c r="S69" i="1"/>
  <c r="S70" i="1" s="1"/>
  <c r="S71" i="1" s="1"/>
  <c r="C35" i="1"/>
  <c r="L35" i="1"/>
  <c r="AC32" i="1"/>
  <c r="U40" i="1"/>
  <c r="AC40" i="1" s="1"/>
  <c r="W51" i="1"/>
  <c r="W69" i="1" s="1"/>
  <c r="W70" i="1" s="1"/>
  <c r="W71" i="1" s="1"/>
  <c r="AC55" i="1"/>
  <c r="X69" i="1"/>
  <c r="R69" i="1"/>
  <c r="R70" i="1" s="1"/>
  <c r="R71" i="1" s="1"/>
  <c r="M69" i="1"/>
  <c r="M70" i="1" s="1"/>
  <c r="M71" i="1" s="1"/>
  <c r="G69" i="1"/>
  <c r="G70" i="1" s="1"/>
  <c r="G71" i="1" s="1"/>
  <c r="N69" i="1"/>
  <c r="N70" i="1" s="1"/>
  <c r="N71" i="1" s="1"/>
  <c r="O69" i="1"/>
  <c r="O70" i="1" s="1"/>
  <c r="O71" i="1" s="1"/>
  <c r="X70" i="1"/>
  <c r="X71" i="1" s="1"/>
  <c r="B19" i="1"/>
  <c r="AC18" i="1"/>
  <c r="P69" i="1"/>
  <c r="P70" i="1" s="1"/>
  <c r="P71" i="1" s="1"/>
  <c r="Z70" i="1"/>
  <c r="Z71" i="1" s="1"/>
  <c r="F69" i="1"/>
  <c r="F70" i="1" s="1"/>
  <c r="F71" i="1" s="1"/>
  <c r="AC27" i="1"/>
  <c r="B35" i="1"/>
  <c r="AC39" i="1"/>
  <c r="C57" i="1"/>
  <c r="B64" i="1"/>
  <c r="AC59" i="1"/>
  <c r="AC14" i="1"/>
  <c r="AC26" i="1"/>
  <c r="AC53" i="1"/>
  <c r="AC10" i="1"/>
  <c r="AC64" i="1" l="1"/>
  <c r="AC57" i="1"/>
  <c r="AC35" i="1"/>
  <c r="C69" i="1"/>
  <c r="C70" i="1" s="1"/>
  <c r="C71" i="1" s="1"/>
  <c r="AC19" i="1"/>
  <c r="B69" i="1"/>
  <c r="AC69" i="1" l="1"/>
  <c r="B70" i="1"/>
  <c r="AC70" i="1" l="1"/>
  <c r="B71" i="1"/>
  <c r="AC71" i="1" s="1"/>
</calcChain>
</file>

<file path=xl/sharedStrings.xml><?xml version="1.0" encoding="utf-8"?>
<sst xmlns="http://schemas.openxmlformats.org/spreadsheetml/2006/main" count="97" uniqueCount="97">
  <si>
    <t>0010 - Operations</t>
  </si>
  <si>
    <t>0065 - CRRSA</t>
  </si>
  <si>
    <t>0110 - NKYEC</t>
  </si>
  <si>
    <t>1100 - RSP</t>
  </si>
  <si>
    <t>1135 - DEI Grant</t>
  </si>
  <si>
    <t>1260- Positive Action</t>
  </si>
  <si>
    <t>1310 - EL Local</t>
  </si>
  <si>
    <t>1415 - NKU Regional Consultant</t>
  </si>
  <si>
    <t>1509 - Professional Development</t>
  </si>
  <si>
    <t>1550 - Special Ed PD</t>
  </si>
  <si>
    <t>1975 - YSA</t>
  </si>
  <si>
    <t>2010 - FRYSC State</t>
  </si>
  <si>
    <t>2200 - Mandarin Program</t>
  </si>
  <si>
    <t>2310 - KDE Intern</t>
  </si>
  <si>
    <t>2800 - Arts in Education</t>
  </si>
  <si>
    <t>2910 - DAIL</t>
  </si>
  <si>
    <t>3010 - FRYSC - Fed</t>
  </si>
  <si>
    <t>3220 - PERS Effectiveness Coach</t>
  </si>
  <si>
    <t>3299 - ARP</t>
  </si>
  <si>
    <t>336J - IDEA B 22-23</t>
  </si>
  <si>
    <t>3416- SPF</t>
  </si>
  <si>
    <t>3425 - Deeper Learning</t>
  </si>
  <si>
    <t>345J - Title III  EL 22-23</t>
  </si>
  <si>
    <t>3800 - Trauma Informed</t>
  </si>
  <si>
    <t>3900 - New Teacher</t>
  </si>
  <si>
    <t>3925 - Mental Health</t>
  </si>
  <si>
    <t>Not Specified</t>
  </si>
  <si>
    <t>TOTAL</t>
  </si>
  <si>
    <t>Income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</si>
  <si>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</si>
  <si>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</si>
  <si>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</si>
  <si>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</si>
  <si>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</si>
  <si>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</si>
  <si>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</si>
  <si>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Total 31100 UNRESTRICTED INCOME</t>
  </si>
  <si>
    <t xml:space="preserve">   31310 SLOTS/TUITION/BUY-IN</t>
  </si>
  <si>
    <t xml:space="preserve">   31970 Partner Services</t>
  </si>
  <si>
    <t xml:space="preserve">   31985 SICK LEAVE ESCROW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</si>
  <si>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</si>
  <si>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</si>
  <si>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</si>
  <si>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</si>
  <si>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</si>
  <si>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</si>
  <si>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</si>
  <si>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</si>
  <si>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</si>
  <si>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</si>
  <si>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</si>
  <si>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</si>
  <si>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</si>
  <si>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</si>
  <si>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</si>
  <si>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</si>
  <si>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</si>
  <si>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</si>
  <si>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</si>
  <si>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</si>
  <si>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</si>
  <si>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</si>
  <si>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</si>
  <si>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</si>
  <si>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</si>
  <si>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</si>
  <si>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</si>
  <si>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</si>
  <si>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</si>
  <si>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</si>
  <si>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</si>
  <si>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</si>
  <si>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</si>
  <si>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Total 40400 REPAIR/MAINTENANCE</t>
  </si>
  <si>
    <t xml:space="preserve">   40600 OFFICE EXPENSE</t>
  </si>
  <si>
    <t xml:space="preserve">      40531 POSTAGE</t>
  </si>
  <si>
    <t xml:space="preserve">      40532 TELEPHONE</t>
  </si>
  <si>
    <t xml:space="preserve">      40605 FOOD</t>
  </si>
  <si>
    <t xml:space="preserve">      40610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</si>
  <si>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</si>
  <si>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</si>
  <si>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</si>
  <si>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</si>
  <si>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</si>
  <si>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</si>
  <si>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</si>
  <si>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</si>
  <si>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40800 OTHER EXPENSES</t>
  </si>
  <si>
    <t xml:space="preserve">      40810 DUES AND FEES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</si>
  <si>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</si>
  <si>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</si>
  <si>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</si>
  <si>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</si>
  <si>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</si>
  <si>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Northern Kentucky Cooperative For Educational Services</t>
  </si>
  <si>
    <t>Profit and Loss by Class</t>
  </si>
  <si>
    <t>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</si>
</sst>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5"/>
  <sheetViews>
    <sheetView tabSelected="1" topLeftCell="E1" workbookViewId="0">
      <selection activeCell="A75" sqref="A75:AC75"/>
    </sheetView>
  </sheetViews>
  <sheetFormatPr defaultRowHeight="15" x14ac:dyDescent="0.25"/>
  <cols>
    <col min="1" max="1" width="37.85546875" customWidth="1"/>
    <col min="2" max="2" width="10.28515625" customWidth="1"/>
    <col min="3" max="3" width="11.140625" customWidth="1"/>
    <col min="4" max="4" width="10.28515625" customWidth="1"/>
    <col min="5" max="9" width="11.140625" customWidth="1"/>
    <col min="10" max="10" width="8.5703125" customWidth="1"/>
    <col min="11" max="11" width="9.42578125" customWidth="1"/>
    <col min="12" max="12" width="10.28515625" customWidth="1"/>
    <col min="13" max="13" width="11.140625" customWidth="1"/>
    <col min="14" max="15" width="10.28515625" customWidth="1"/>
    <col min="16" max="19" width="11.140625" customWidth="1"/>
    <col min="20" max="20" width="7.7109375" customWidth="1"/>
    <col min="21" max="23" width="11.140625" customWidth="1"/>
    <col min="24" max="24" width="10.28515625" customWidth="1"/>
    <col min="25" max="27" width="11.140625" customWidth="1"/>
    <col min="28" max="28" width="7.7109375" customWidth="1"/>
    <col min="29" max="29" width="12" customWidth="1"/>
  </cols>
  <sheetData>
    <row r="1" spans="1:29" ht="18" x14ac:dyDescent="0.25">
      <c r="A1" s="10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" x14ac:dyDescent="0.25">
      <c r="A2" s="10" t="s">
        <v>95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x14ac:dyDescent="0.25">
      <c r="A3" s="11" t="s">
        <v>96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5" spans="1:29" ht="60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26</v>
      </c>
      <c r="AC5" s="2" t="s">
        <v>27</v>
      </c>
    </row>
    <row r="6" spans="1:29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5">
      <c r="A7" s="3" t="s">
        <v>29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>
        <f t="shared" ref="AC7:AC19" si="0">((((((((((((((((((((((((((B7)+(C7))+(D7))+(E7))+(F7))+(G7))+(H7))+(I7))+(J7))+(K7))+(L7))+(M7))+(N7))+(O7))+(P7))+(Q7))+(R7))+(S7))+(T7))+(U7))+(V7))+(W7))+(X7))+(Y7))+(Z7))+(AA7))+(AB7)</f>
        <v>0</v>
      </c>
    </row>
    <row r="8" spans="1:29" x14ac:dyDescent="0.25">
      <c r="A8" s="3" t="s">
        <v>30</v>
      </c>
      <c r="B8" s="5">
        <f>272122.23</f>
        <v>272122.23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>
        <f t="shared" si="0"/>
        <v>272122.23</v>
      </c>
    </row>
    <row r="9" spans="1:29" x14ac:dyDescent="0.25">
      <c r="A9" s="3" t="s">
        <v>31</v>
      </c>
      <c r="B9" s="5">
        <f>9041.33</f>
        <v>9041.33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>
        <f t="shared" si="0"/>
        <v>9041.33</v>
      </c>
    </row>
    <row r="10" spans="1:29" x14ac:dyDescent="0.25">
      <c r="A10" s="3" t="s">
        <v>32</v>
      </c>
      <c r="B10" s="4"/>
      <c r="C10" s="4"/>
      <c r="D10" s="4"/>
      <c r="E10" s="4"/>
      <c r="F10" s="4"/>
      <c r="G10" s="4"/>
      <c r="H10" s="4"/>
      <c r="I10" s="4"/>
      <c r="J10" s="5">
        <f>5391.89</f>
        <v>5391.89</v>
      </c>
      <c r="K10" s="5">
        <f>11200</f>
        <v>11200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5">
        <f t="shared" si="0"/>
        <v>16591.89</v>
      </c>
    </row>
    <row r="11" spans="1:29" x14ac:dyDescent="0.25">
      <c r="A11" s="3" t="s">
        <v>33</v>
      </c>
      <c r="B11" s="4"/>
      <c r="C11" s="4"/>
      <c r="D11" s="4"/>
      <c r="E11" s="4"/>
      <c r="F11" s="4"/>
      <c r="G11" s="4"/>
      <c r="H11" s="4"/>
      <c r="I11" s="4"/>
      <c r="J11" s="5">
        <f>520</f>
        <v>520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>
        <f t="shared" si="0"/>
        <v>520</v>
      </c>
    </row>
    <row r="12" spans="1:29" x14ac:dyDescent="0.25">
      <c r="A12" s="3" t="s">
        <v>34</v>
      </c>
      <c r="B12" s="5">
        <f>25159.19</f>
        <v>25159.19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>
        <f t="shared" si="0"/>
        <v>25159.19</v>
      </c>
    </row>
    <row r="13" spans="1:29" x14ac:dyDescent="0.25">
      <c r="A13" s="3" t="s">
        <v>35</v>
      </c>
      <c r="B13" s="5">
        <f>72756.96</f>
        <v>72756.960000000006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>
        <f t="shared" si="0"/>
        <v>72756.960000000006</v>
      </c>
    </row>
    <row r="14" spans="1:29" x14ac:dyDescent="0.25">
      <c r="A14" s="3" t="s">
        <v>36</v>
      </c>
      <c r="B14" s="6">
        <f t="shared" ref="B14:AB14" si="1">((((((B7)+(B8))+(B9))+(B10))+(B11))+(B12))+(B13)</f>
        <v>379079.71</v>
      </c>
      <c r="C14" s="6">
        <f t="shared" si="1"/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5911.89</v>
      </c>
      <c r="K14" s="6">
        <f t="shared" si="1"/>
        <v>11200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6">
        <f t="shared" si="1"/>
        <v>0</v>
      </c>
      <c r="T14" s="6">
        <f t="shared" si="1"/>
        <v>0</v>
      </c>
      <c r="U14" s="6">
        <f t="shared" si="1"/>
        <v>0</v>
      </c>
      <c r="V14" s="6">
        <f t="shared" si="1"/>
        <v>0</v>
      </c>
      <c r="W14" s="6">
        <f t="shared" si="1"/>
        <v>0</v>
      </c>
      <c r="X14" s="6">
        <f t="shared" si="1"/>
        <v>0</v>
      </c>
      <c r="Y14" s="6">
        <f t="shared" si="1"/>
        <v>0</v>
      </c>
      <c r="Z14" s="6">
        <f t="shared" si="1"/>
        <v>0</v>
      </c>
      <c r="AA14" s="6">
        <f t="shared" si="1"/>
        <v>0</v>
      </c>
      <c r="AB14" s="6">
        <f t="shared" si="1"/>
        <v>0</v>
      </c>
      <c r="AC14" s="6">
        <f t="shared" si="0"/>
        <v>396191.60000000003</v>
      </c>
    </row>
    <row r="15" spans="1:29" x14ac:dyDescent="0.25">
      <c r="A15" s="3" t="s">
        <v>37</v>
      </c>
      <c r="B15" s="4"/>
      <c r="C15" s="4"/>
      <c r="D15" s="4"/>
      <c r="E15" s="5">
        <f>52000</f>
        <v>52000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5"/>
      <c r="AC15" s="5">
        <f t="shared" si="0"/>
        <v>52000</v>
      </c>
    </row>
    <row r="16" spans="1:29" x14ac:dyDescent="0.25">
      <c r="A16" s="3" t="s">
        <v>38</v>
      </c>
      <c r="B16" s="5">
        <f>23373</f>
        <v>23373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5">
        <f t="shared" si="0"/>
        <v>23373</v>
      </c>
    </row>
    <row r="17" spans="1:29" x14ac:dyDescent="0.25">
      <c r="A17" s="3" t="s">
        <v>39</v>
      </c>
      <c r="B17" s="5">
        <f>4934.04</f>
        <v>4934.04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5">
        <f t="shared" si="0"/>
        <v>4934.04</v>
      </c>
    </row>
    <row r="18" spans="1:29" x14ac:dyDescent="0.25">
      <c r="A18" s="3" t="s">
        <v>40</v>
      </c>
      <c r="B18" s="6">
        <f t="shared" ref="B18:AB18" si="2">(((B14)+(B15))+(B16))+(B17)</f>
        <v>407386.75</v>
      </c>
      <c r="C18" s="6">
        <f t="shared" si="2"/>
        <v>0</v>
      </c>
      <c r="D18" s="6">
        <f t="shared" si="2"/>
        <v>0</v>
      </c>
      <c r="E18" s="6">
        <f t="shared" si="2"/>
        <v>52000</v>
      </c>
      <c r="F18" s="6">
        <f t="shared" si="2"/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5911.89</v>
      </c>
      <c r="K18" s="6">
        <f t="shared" si="2"/>
        <v>11200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  <c r="Q18" s="6">
        <f t="shared" si="2"/>
        <v>0</v>
      </c>
      <c r="R18" s="6">
        <f t="shared" si="2"/>
        <v>0</v>
      </c>
      <c r="S18" s="6">
        <f t="shared" si="2"/>
        <v>0</v>
      </c>
      <c r="T18" s="6">
        <f t="shared" si="2"/>
        <v>0</v>
      </c>
      <c r="U18" s="6">
        <f t="shared" si="2"/>
        <v>0</v>
      </c>
      <c r="V18" s="6">
        <f t="shared" si="2"/>
        <v>0</v>
      </c>
      <c r="W18" s="6">
        <f t="shared" si="2"/>
        <v>0</v>
      </c>
      <c r="X18" s="6">
        <f t="shared" si="2"/>
        <v>0</v>
      </c>
      <c r="Y18" s="6">
        <f t="shared" si="2"/>
        <v>0</v>
      </c>
      <c r="Z18" s="6">
        <f t="shared" si="2"/>
        <v>0</v>
      </c>
      <c r="AA18" s="6">
        <f t="shared" si="2"/>
        <v>0</v>
      </c>
      <c r="AB18" s="6">
        <f t="shared" si="2"/>
        <v>0</v>
      </c>
      <c r="AC18" s="6">
        <f t="shared" si="0"/>
        <v>476498.64</v>
      </c>
    </row>
    <row r="19" spans="1:29" x14ac:dyDescent="0.25">
      <c r="A19" s="3" t="s">
        <v>41</v>
      </c>
      <c r="B19" s="6">
        <f t="shared" ref="B19:AB19" si="3">(B18)-(0)</f>
        <v>407386.75</v>
      </c>
      <c r="C19" s="6">
        <f t="shared" si="3"/>
        <v>0</v>
      </c>
      <c r="D19" s="6">
        <f t="shared" si="3"/>
        <v>0</v>
      </c>
      <c r="E19" s="6">
        <f t="shared" si="3"/>
        <v>52000</v>
      </c>
      <c r="F19" s="6">
        <f t="shared" si="3"/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6">
        <f t="shared" si="3"/>
        <v>5911.89</v>
      </c>
      <c r="K19" s="6">
        <f t="shared" si="3"/>
        <v>11200</v>
      </c>
      <c r="L19" s="6">
        <f t="shared" si="3"/>
        <v>0</v>
      </c>
      <c r="M19" s="6">
        <f t="shared" si="3"/>
        <v>0</v>
      </c>
      <c r="N19" s="6">
        <f t="shared" si="3"/>
        <v>0</v>
      </c>
      <c r="O19" s="6">
        <f t="shared" si="3"/>
        <v>0</v>
      </c>
      <c r="P19" s="6">
        <f t="shared" si="3"/>
        <v>0</v>
      </c>
      <c r="Q19" s="6">
        <f t="shared" si="3"/>
        <v>0</v>
      </c>
      <c r="R19" s="6">
        <f t="shared" si="3"/>
        <v>0</v>
      </c>
      <c r="S19" s="6">
        <f t="shared" si="3"/>
        <v>0</v>
      </c>
      <c r="T19" s="6">
        <f t="shared" si="3"/>
        <v>0</v>
      </c>
      <c r="U19" s="6">
        <f t="shared" si="3"/>
        <v>0</v>
      </c>
      <c r="V19" s="6">
        <f t="shared" si="3"/>
        <v>0</v>
      </c>
      <c r="W19" s="6">
        <f t="shared" si="3"/>
        <v>0</v>
      </c>
      <c r="X19" s="6">
        <f t="shared" si="3"/>
        <v>0</v>
      </c>
      <c r="Y19" s="6">
        <f t="shared" si="3"/>
        <v>0</v>
      </c>
      <c r="Z19" s="6">
        <f t="shared" si="3"/>
        <v>0</v>
      </c>
      <c r="AA19" s="6">
        <f t="shared" si="3"/>
        <v>0</v>
      </c>
      <c r="AB19" s="6">
        <f t="shared" si="3"/>
        <v>0</v>
      </c>
      <c r="AC19" s="6">
        <f t="shared" si="0"/>
        <v>476498.64</v>
      </c>
    </row>
    <row r="20" spans="1:29" x14ac:dyDescent="0.25">
      <c r="A20" s="3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x14ac:dyDescent="0.25">
      <c r="A21" s="3" t="s">
        <v>43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5">
        <f t="shared" ref="AC21:AC52" si="4">((((((((((((((((((((((((((B21)+(C21))+(D21))+(E21))+(F21))+(G21))+(H21))+(I21))+(J21))+(K21))+(L21))+(M21))+(N21))+(O21))+(P21))+(Q21))+(R21))+(S21))+(T21))+(U21))+(V21))+(W21))+(X21))+(Y21))+(Z21))+(AA21))+(AB21)</f>
        <v>0</v>
      </c>
    </row>
    <row r="22" spans="1:29" x14ac:dyDescent="0.25">
      <c r="A22" s="3" t="s">
        <v>44</v>
      </c>
      <c r="B22" s="5">
        <f>16707.82</f>
        <v>16707.82</v>
      </c>
      <c r="C22" s="5">
        <f>23175.94</f>
        <v>23175.94</v>
      </c>
      <c r="D22" s="4"/>
      <c r="E22" s="5">
        <f>31400.38</f>
        <v>31400.38</v>
      </c>
      <c r="F22" s="5">
        <f>7485.32</f>
        <v>7485.32</v>
      </c>
      <c r="G22" s="5">
        <f>11067.71</f>
        <v>11067.71</v>
      </c>
      <c r="H22" s="5">
        <f>9646.14</f>
        <v>9646.14</v>
      </c>
      <c r="I22" s="4"/>
      <c r="J22" s="4"/>
      <c r="K22" s="4"/>
      <c r="L22" s="5">
        <f>4658.58</f>
        <v>4658.58</v>
      </c>
      <c r="M22" s="5">
        <f>68473.42</f>
        <v>68473.42</v>
      </c>
      <c r="N22" s="5">
        <f>4600.5</f>
        <v>4600.5</v>
      </c>
      <c r="O22" s="5">
        <f>1000</f>
        <v>1000</v>
      </c>
      <c r="P22" s="5">
        <f>8749.04</f>
        <v>8749.0400000000009</v>
      </c>
      <c r="Q22" s="4"/>
      <c r="R22" s="5">
        <f>6458.32</f>
        <v>6458.32</v>
      </c>
      <c r="S22" s="5">
        <f>8176.46</f>
        <v>8176.46</v>
      </c>
      <c r="T22" s="4"/>
      <c r="U22" s="5">
        <f>56639.02</f>
        <v>56639.02</v>
      </c>
      <c r="V22" s="5">
        <f>14234.42</f>
        <v>14234.42</v>
      </c>
      <c r="W22" s="5">
        <f>27396.32</f>
        <v>27396.32</v>
      </c>
      <c r="X22" s="5">
        <f>790.92</f>
        <v>790.92</v>
      </c>
      <c r="Y22" s="5">
        <f>14873.52</f>
        <v>14873.52</v>
      </c>
      <c r="Z22" s="4"/>
      <c r="AA22" s="5">
        <f>19256.98</f>
        <v>19256.98</v>
      </c>
      <c r="AB22" s="4"/>
      <c r="AC22" s="5">
        <f t="shared" si="4"/>
        <v>334790.81</v>
      </c>
    </row>
    <row r="23" spans="1:29" x14ac:dyDescent="0.25">
      <c r="A23" s="3" t="s">
        <v>45</v>
      </c>
      <c r="B23" s="5">
        <f>18168.44</f>
        <v>18168.439999999999</v>
      </c>
      <c r="C23" s="5">
        <f>2220.79</f>
        <v>2220.79</v>
      </c>
      <c r="D23" s="5">
        <f>3843.76</f>
        <v>3843.76</v>
      </c>
      <c r="E23" s="5">
        <f>8691.78</f>
        <v>8691.7800000000007</v>
      </c>
      <c r="F23" s="4"/>
      <c r="G23" s="4"/>
      <c r="H23" s="4"/>
      <c r="I23" s="5">
        <f>7449.64</f>
        <v>7449.64</v>
      </c>
      <c r="J23" s="4"/>
      <c r="K23" s="4"/>
      <c r="L23" s="4"/>
      <c r="M23" s="5">
        <f>3750</f>
        <v>3750</v>
      </c>
      <c r="N23" s="4"/>
      <c r="O23" s="4"/>
      <c r="P23" s="5">
        <f>4494.58</f>
        <v>4494.58</v>
      </c>
      <c r="Q23" s="5">
        <f>51788.88</f>
        <v>51788.88</v>
      </c>
      <c r="R23" s="4"/>
      <c r="S23" s="5">
        <f>6250</f>
        <v>6250</v>
      </c>
      <c r="T23" s="4"/>
      <c r="U23" s="5">
        <f>4963.13</f>
        <v>4963.13</v>
      </c>
      <c r="V23" s="4"/>
      <c r="W23" s="5">
        <f>2061.46</f>
        <v>2061.46</v>
      </c>
      <c r="X23" s="4"/>
      <c r="Y23" s="4"/>
      <c r="Z23" s="4"/>
      <c r="AA23" s="4"/>
      <c r="AB23" s="4"/>
      <c r="AC23" s="5">
        <f t="shared" si="4"/>
        <v>113682.46</v>
      </c>
    </row>
    <row r="24" spans="1:29" x14ac:dyDescent="0.25">
      <c r="A24" s="3" t="s">
        <v>46</v>
      </c>
      <c r="B24" s="6">
        <f t="shared" ref="B24:AB24" si="5">((B21)+(B22))+(B23)</f>
        <v>34876.259999999995</v>
      </c>
      <c r="C24" s="6">
        <f t="shared" si="5"/>
        <v>25396.73</v>
      </c>
      <c r="D24" s="6">
        <f t="shared" si="5"/>
        <v>3843.76</v>
      </c>
      <c r="E24" s="6">
        <f t="shared" si="5"/>
        <v>40092.160000000003</v>
      </c>
      <c r="F24" s="6">
        <f t="shared" si="5"/>
        <v>7485.32</v>
      </c>
      <c r="G24" s="6">
        <f t="shared" si="5"/>
        <v>11067.71</v>
      </c>
      <c r="H24" s="6">
        <f t="shared" si="5"/>
        <v>9646.14</v>
      </c>
      <c r="I24" s="6">
        <f t="shared" si="5"/>
        <v>7449.64</v>
      </c>
      <c r="J24" s="6">
        <f t="shared" si="5"/>
        <v>0</v>
      </c>
      <c r="K24" s="6">
        <f t="shared" si="5"/>
        <v>0</v>
      </c>
      <c r="L24" s="6">
        <f t="shared" si="5"/>
        <v>4658.58</v>
      </c>
      <c r="M24" s="6">
        <f t="shared" si="5"/>
        <v>72223.42</v>
      </c>
      <c r="N24" s="6">
        <f t="shared" si="5"/>
        <v>4600.5</v>
      </c>
      <c r="O24" s="6">
        <f t="shared" si="5"/>
        <v>1000</v>
      </c>
      <c r="P24" s="6">
        <f t="shared" si="5"/>
        <v>13243.62</v>
      </c>
      <c r="Q24" s="6">
        <f t="shared" si="5"/>
        <v>51788.88</v>
      </c>
      <c r="R24" s="6">
        <f t="shared" si="5"/>
        <v>6458.32</v>
      </c>
      <c r="S24" s="6">
        <f t="shared" si="5"/>
        <v>14426.46</v>
      </c>
      <c r="T24" s="6">
        <f t="shared" si="5"/>
        <v>0</v>
      </c>
      <c r="U24" s="6">
        <f t="shared" si="5"/>
        <v>61602.149999999994</v>
      </c>
      <c r="V24" s="6">
        <f t="shared" si="5"/>
        <v>14234.42</v>
      </c>
      <c r="W24" s="6">
        <f t="shared" si="5"/>
        <v>29457.78</v>
      </c>
      <c r="X24" s="6">
        <f t="shared" si="5"/>
        <v>790.92</v>
      </c>
      <c r="Y24" s="6">
        <f t="shared" si="5"/>
        <v>14873.52</v>
      </c>
      <c r="Z24" s="6">
        <f t="shared" si="5"/>
        <v>0</v>
      </c>
      <c r="AA24" s="6">
        <f t="shared" si="5"/>
        <v>19256.98</v>
      </c>
      <c r="AB24" s="6">
        <f t="shared" si="5"/>
        <v>0</v>
      </c>
      <c r="AC24" s="6">
        <f t="shared" si="4"/>
        <v>448473.26999999996</v>
      </c>
    </row>
    <row r="25" spans="1:29" x14ac:dyDescent="0.25">
      <c r="A25" s="3" t="s">
        <v>47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5">
        <f t="shared" si="4"/>
        <v>0</v>
      </c>
    </row>
    <row r="26" spans="1:29" x14ac:dyDescent="0.25">
      <c r="A26" s="3" t="s">
        <v>48</v>
      </c>
      <c r="B26" s="4"/>
      <c r="C26" s="5">
        <f>2.84</f>
        <v>2.84</v>
      </c>
      <c r="D26" s="4"/>
      <c r="E26" s="4"/>
      <c r="F26" s="5">
        <f>1.09</f>
        <v>1.0900000000000001</v>
      </c>
      <c r="G26" s="5">
        <f>1.07</f>
        <v>1.07</v>
      </c>
      <c r="H26" s="4"/>
      <c r="I26" s="4"/>
      <c r="J26" s="4"/>
      <c r="K26" s="4"/>
      <c r="L26" s="4"/>
      <c r="M26" s="4"/>
      <c r="N26" s="4"/>
      <c r="O26" s="4"/>
      <c r="P26" s="5">
        <f>2.24</f>
        <v>2.2400000000000002</v>
      </c>
      <c r="Q26" s="4"/>
      <c r="R26" s="5">
        <f>1.25</f>
        <v>1.25</v>
      </c>
      <c r="S26" s="4"/>
      <c r="T26" s="4"/>
      <c r="U26" s="5">
        <f>7.36</f>
        <v>7.36</v>
      </c>
      <c r="V26" s="5">
        <f>1.99</f>
        <v>1.99</v>
      </c>
      <c r="W26" s="5">
        <f>3.81</f>
        <v>3.81</v>
      </c>
      <c r="X26" s="5">
        <f>0.15</f>
        <v>0.15</v>
      </c>
      <c r="Y26" s="5">
        <f>0.37</f>
        <v>0.37</v>
      </c>
      <c r="Z26" s="4"/>
      <c r="AA26" s="5">
        <f>1.86</f>
        <v>1.86</v>
      </c>
      <c r="AB26" s="4"/>
      <c r="AC26" s="5">
        <f t="shared" si="4"/>
        <v>24.029999999999998</v>
      </c>
    </row>
    <row r="27" spans="1:29" x14ac:dyDescent="0.25">
      <c r="A27" s="3" t="s">
        <v>49</v>
      </c>
      <c r="B27" s="5">
        <f>1002.21</f>
        <v>1002.21</v>
      </c>
      <c r="C27" s="5">
        <f>115.48</f>
        <v>115.48</v>
      </c>
      <c r="D27" s="5">
        <f>212.28</f>
        <v>212.28</v>
      </c>
      <c r="E27" s="5">
        <f>502.44</f>
        <v>502.44</v>
      </c>
      <c r="F27" s="4"/>
      <c r="G27" s="4"/>
      <c r="H27" s="4"/>
      <c r="I27" s="5">
        <f>439.8</f>
        <v>439.8</v>
      </c>
      <c r="J27" s="4"/>
      <c r="K27" s="4"/>
      <c r="L27" s="4"/>
      <c r="M27" s="5">
        <f>222.33</f>
        <v>222.33</v>
      </c>
      <c r="N27" s="4"/>
      <c r="O27" s="4"/>
      <c r="P27" s="5">
        <f>268.12</f>
        <v>268.12</v>
      </c>
      <c r="Q27" s="5">
        <f>3079.46</f>
        <v>3079.46</v>
      </c>
      <c r="R27" s="4"/>
      <c r="S27" s="5">
        <f>377.8</f>
        <v>377.8</v>
      </c>
      <c r="T27" s="4"/>
      <c r="U27" s="5">
        <f>298.13</f>
        <v>298.13</v>
      </c>
      <c r="V27" s="4"/>
      <c r="W27" s="5">
        <f>119.35</f>
        <v>119.35</v>
      </c>
      <c r="X27" s="4"/>
      <c r="Y27" s="4"/>
      <c r="Z27" s="4"/>
      <c r="AA27" s="4"/>
      <c r="AB27" s="4"/>
      <c r="AC27" s="5">
        <f t="shared" si="4"/>
        <v>6637.4000000000005</v>
      </c>
    </row>
    <row r="28" spans="1:29" x14ac:dyDescent="0.25">
      <c r="A28" s="3" t="s">
        <v>50</v>
      </c>
      <c r="B28" s="5">
        <f>472.4</f>
        <v>472.4</v>
      </c>
      <c r="C28" s="5">
        <f>357.38</f>
        <v>357.38</v>
      </c>
      <c r="D28" s="5">
        <f>49.64</f>
        <v>49.64</v>
      </c>
      <c r="E28" s="5">
        <f>547.13</f>
        <v>547.13</v>
      </c>
      <c r="F28" s="5">
        <f>102.02</f>
        <v>102.02</v>
      </c>
      <c r="G28" s="5">
        <f>71</f>
        <v>71</v>
      </c>
      <c r="H28" s="5">
        <f>126.16</f>
        <v>126.16</v>
      </c>
      <c r="I28" s="5">
        <f>102.86</f>
        <v>102.86</v>
      </c>
      <c r="J28" s="4"/>
      <c r="K28" s="4"/>
      <c r="L28" s="5">
        <f>66.37</f>
        <v>66.37</v>
      </c>
      <c r="M28" s="5">
        <f>1021.43</f>
        <v>1021.43</v>
      </c>
      <c r="N28" s="5">
        <f>64.91</f>
        <v>64.91</v>
      </c>
      <c r="O28" s="5">
        <f>14.5</f>
        <v>14.5</v>
      </c>
      <c r="P28" s="5">
        <f>181.38</f>
        <v>181.38</v>
      </c>
      <c r="Q28" s="5">
        <f>720.21</f>
        <v>720.21</v>
      </c>
      <c r="R28" s="5">
        <f>90.58</f>
        <v>90.58</v>
      </c>
      <c r="S28" s="5">
        <f>203.09</f>
        <v>203.09</v>
      </c>
      <c r="T28" s="4"/>
      <c r="U28" s="5">
        <f>865.53</f>
        <v>865.53</v>
      </c>
      <c r="V28" s="5">
        <f>195.88</f>
        <v>195.88</v>
      </c>
      <c r="W28" s="5">
        <f>416.56</f>
        <v>416.56</v>
      </c>
      <c r="X28" s="5">
        <f>10.42</f>
        <v>10.42</v>
      </c>
      <c r="Y28" s="5">
        <f>210.98</f>
        <v>210.98</v>
      </c>
      <c r="Z28" s="4"/>
      <c r="AA28" s="5">
        <f>269.49</f>
        <v>269.49</v>
      </c>
      <c r="AB28" s="4"/>
      <c r="AC28" s="5">
        <f t="shared" si="4"/>
        <v>6159.9199999999992</v>
      </c>
    </row>
    <row r="29" spans="1:29" x14ac:dyDescent="0.25">
      <c r="A29" s="3" t="s">
        <v>51</v>
      </c>
      <c r="B29" s="5">
        <f>1089.34</f>
        <v>1089.3399999999999</v>
      </c>
      <c r="C29" s="5">
        <f>3863.98</f>
        <v>3863.98</v>
      </c>
      <c r="D29" s="4"/>
      <c r="E29" s="5">
        <f>942.04</f>
        <v>942.04</v>
      </c>
      <c r="F29" s="5">
        <f>1270.7</f>
        <v>1270.7</v>
      </c>
      <c r="G29" s="5">
        <f>834.04</f>
        <v>834.04</v>
      </c>
      <c r="H29" s="5">
        <f>384.2</f>
        <v>384.2</v>
      </c>
      <c r="I29" s="4"/>
      <c r="J29" s="4"/>
      <c r="K29" s="4"/>
      <c r="L29" s="5">
        <f>139.76</f>
        <v>139.76</v>
      </c>
      <c r="M29" s="5">
        <f>2354.56</f>
        <v>2354.56</v>
      </c>
      <c r="N29" s="5">
        <f>138.02</f>
        <v>138.02000000000001</v>
      </c>
      <c r="O29" s="4"/>
      <c r="P29" s="5">
        <f>1321.68</f>
        <v>1321.68</v>
      </c>
      <c r="Q29" s="4"/>
      <c r="R29" s="5">
        <f>739.8</f>
        <v>739.8</v>
      </c>
      <c r="S29" s="5">
        <f>245.3</f>
        <v>245.3</v>
      </c>
      <c r="T29" s="4"/>
      <c r="U29" s="5">
        <f>9264.7</f>
        <v>9264.7000000000007</v>
      </c>
      <c r="V29" s="5">
        <f>2060.42</f>
        <v>2060.42</v>
      </c>
      <c r="W29" s="5">
        <f>4296.32</f>
        <v>4296.32</v>
      </c>
      <c r="X29" s="5">
        <f>40.46</f>
        <v>40.46</v>
      </c>
      <c r="Y29" s="5">
        <f>2384.32</f>
        <v>2384.3200000000002</v>
      </c>
      <c r="Z29" s="4"/>
      <c r="AA29" s="5">
        <f>3149.9</f>
        <v>3149.9</v>
      </c>
      <c r="AB29" s="4"/>
      <c r="AC29" s="5">
        <f t="shared" si="4"/>
        <v>34519.54</v>
      </c>
    </row>
    <row r="30" spans="1:29" x14ac:dyDescent="0.25">
      <c r="A30" s="3" t="s">
        <v>52</v>
      </c>
      <c r="B30" s="5">
        <f>4240.49</f>
        <v>4240.49</v>
      </c>
      <c r="C30" s="5">
        <f>518.33</f>
        <v>518.33000000000004</v>
      </c>
      <c r="D30" s="4"/>
      <c r="E30" s="5">
        <f>2028.66</f>
        <v>2028.66</v>
      </c>
      <c r="F30" s="4"/>
      <c r="G30" s="4"/>
      <c r="H30" s="4"/>
      <c r="I30" s="5">
        <f>1738.74</f>
        <v>1738.74</v>
      </c>
      <c r="J30" s="4"/>
      <c r="K30" s="4"/>
      <c r="L30" s="4"/>
      <c r="M30" s="5">
        <f>875.26</f>
        <v>875.26</v>
      </c>
      <c r="N30" s="4"/>
      <c r="O30" s="4"/>
      <c r="P30" s="5">
        <f>1049.04</f>
        <v>1049.04</v>
      </c>
      <c r="Q30" s="5">
        <f>10805.12</f>
        <v>10805.12</v>
      </c>
      <c r="R30" s="4"/>
      <c r="S30" s="5">
        <f>1458.76</f>
        <v>1458.76</v>
      </c>
      <c r="T30" s="4"/>
      <c r="U30" s="5">
        <f>725.72</f>
        <v>725.72</v>
      </c>
      <c r="V30" s="4"/>
      <c r="W30" s="5">
        <f>481.14</f>
        <v>481.14</v>
      </c>
      <c r="X30" s="4"/>
      <c r="Y30" s="4"/>
      <c r="Z30" s="4"/>
      <c r="AA30" s="4"/>
      <c r="AB30" s="4"/>
      <c r="AC30" s="5">
        <f t="shared" si="4"/>
        <v>23921.26</v>
      </c>
    </row>
    <row r="31" spans="1:29" x14ac:dyDescent="0.25">
      <c r="A31" s="3" t="s">
        <v>53</v>
      </c>
      <c r="B31" s="4"/>
      <c r="C31" s="5">
        <f>2419.73</f>
        <v>2419.73</v>
      </c>
      <c r="D31" s="4"/>
      <c r="E31" s="4"/>
      <c r="F31" s="5">
        <f>1301.76</f>
        <v>1301.76</v>
      </c>
      <c r="G31" s="5">
        <f>234.5</f>
        <v>234.5</v>
      </c>
      <c r="H31" s="4"/>
      <c r="I31" s="4"/>
      <c r="J31" s="4"/>
      <c r="K31" s="4"/>
      <c r="L31" s="4"/>
      <c r="M31" s="4"/>
      <c r="N31" s="4"/>
      <c r="O31" s="4"/>
      <c r="P31" s="5">
        <f>2065.52</f>
        <v>2065.52</v>
      </c>
      <c r="Q31" s="4"/>
      <c r="R31" s="5">
        <f>1000.44</f>
        <v>1000.44</v>
      </c>
      <c r="S31" s="4"/>
      <c r="T31" s="4"/>
      <c r="U31" s="5">
        <f>5416.43</f>
        <v>5416.43</v>
      </c>
      <c r="V31" s="5">
        <f>1254.06</f>
        <v>1254.06</v>
      </c>
      <c r="W31" s="5">
        <f>2398.18</f>
        <v>2398.1799999999998</v>
      </c>
      <c r="X31" s="5">
        <f>209.31</f>
        <v>209.31</v>
      </c>
      <c r="Y31" s="5">
        <f>146.59</f>
        <v>146.59</v>
      </c>
      <c r="Z31" s="4"/>
      <c r="AA31" s="5">
        <f>1412.78</f>
        <v>1412.78</v>
      </c>
      <c r="AB31" s="4"/>
      <c r="AC31" s="5">
        <f t="shared" si="4"/>
        <v>17859.3</v>
      </c>
    </row>
    <row r="32" spans="1:29" x14ac:dyDescent="0.25">
      <c r="A32" s="3" t="s">
        <v>54</v>
      </c>
      <c r="B32" s="5">
        <f>630.98</f>
        <v>630.98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5">
        <f>0</f>
        <v>0</v>
      </c>
      <c r="AC32" s="5">
        <f t="shared" si="4"/>
        <v>630.98</v>
      </c>
    </row>
    <row r="33" spans="1:29" x14ac:dyDescent="0.25">
      <c r="A33" s="3" t="s">
        <v>55</v>
      </c>
      <c r="B33" s="4"/>
      <c r="C33" s="5">
        <f>507.93</f>
        <v>507.93</v>
      </c>
      <c r="D33" s="4"/>
      <c r="E33" s="5">
        <f>400.92</f>
        <v>400.92</v>
      </c>
      <c r="F33" s="5">
        <f>149.71</f>
        <v>149.71</v>
      </c>
      <c r="G33" s="4"/>
      <c r="H33" s="5">
        <f>192.92</f>
        <v>192.92</v>
      </c>
      <c r="I33" s="5">
        <f>148.99</f>
        <v>148.99</v>
      </c>
      <c r="J33" s="4"/>
      <c r="K33" s="4"/>
      <c r="L33" s="5">
        <f>46.59</f>
        <v>46.59</v>
      </c>
      <c r="M33" s="5">
        <f>1444.47</f>
        <v>1444.47</v>
      </c>
      <c r="N33" s="5">
        <f>92.01</f>
        <v>92.01</v>
      </c>
      <c r="O33" s="4"/>
      <c r="P33" s="5">
        <f>264.87</f>
        <v>264.87</v>
      </c>
      <c r="Q33" s="4"/>
      <c r="R33" s="5">
        <f>129.17</f>
        <v>129.16999999999999</v>
      </c>
      <c r="S33" s="4"/>
      <c r="T33" s="4"/>
      <c r="U33" s="4"/>
      <c r="V33" s="5">
        <f>284.69</f>
        <v>284.69</v>
      </c>
      <c r="W33" s="5">
        <f>589.16</f>
        <v>589.16</v>
      </c>
      <c r="X33" s="4"/>
      <c r="Y33" s="5">
        <f>297.47</f>
        <v>297.47000000000003</v>
      </c>
      <c r="Z33" s="4"/>
      <c r="AA33" s="5">
        <f>385.14</f>
        <v>385.14</v>
      </c>
      <c r="AB33" s="4"/>
      <c r="AC33" s="5">
        <f t="shared" si="4"/>
        <v>4934.0400000000009</v>
      </c>
    </row>
    <row r="34" spans="1:29" x14ac:dyDescent="0.25">
      <c r="A34" s="3" t="s">
        <v>56</v>
      </c>
      <c r="B34" s="4"/>
      <c r="C34" s="5">
        <f>22.72</f>
        <v>22.72</v>
      </c>
      <c r="D34" s="4"/>
      <c r="E34" s="4"/>
      <c r="F34" s="5">
        <f>8.72</f>
        <v>8.7200000000000006</v>
      </c>
      <c r="G34" s="5">
        <f>8.56</f>
        <v>8.56</v>
      </c>
      <c r="H34" s="4"/>
      <c r="I34" s="4"/>
      <c r="J34" s="4"/>
      <c r="K34" s="4"/>
      <c r="L34" s="4"/>
      <c r="M34" s="4"/>
      <c r="N34" s="4"/>
      <c r="O34" s="4"/>
      <c r="P34" s="5">
        <f>17.92</f>
        <v>17.920000000000002</v>
      </c>
      <c r="Q34" s="4"/>
      <c r="R34" s="5">
        <f>10</f>
        <v>10</v>
      </c>
      <c r="S34" s="4"/>
      <c r="T34" s="4"/>
      <c r="U34" s="5">
        <f>58.88</f>
        <v>58.88</v>
      </c>
      <c r="V34" s="5">
        <f>15.92</f>
        <v>15.92</v>
      </c>
      <c r="W34" s="5">
        <f>30.48</f>
        <v>30.48</v>
      </c>
      <c r="X34" s="5">
        <f>1.2</f>
        <v>1.2</v>
      </c>
      <c r="Y34" s="5">
        <f>2.96</f>
        <v>2.96</v>
      </c>
      <c r="Z34" s="4"/>
      <c r="AA34" s="5">
        <f>14.88</f>
        <v>14.88</v>
      </c>
      <c r="AB34" s="4"/>
      <c r="AC34" s="5">
        <f t="shared" si="4"/>
        <v>192.23999999999998</v>
      </c>
    </row>
    <row r="35" spans="1:29" x14ac:dyDescent="0.25">
      <c r="A35" s="3" t="s">
        <v>57</v>
      </c>
      <c r="B35" s="6">
        <f t="shared" ref="B35:AB35" si="6">(((((((((B25)+(B26))+(B27))+(B28))+(B29))+(B30))+(B31))+(B32))+(B33))+(B34)</f>
        <v>7435.42</v>
      </c>
      <c r="C35" s="6">
        <f t="shared" si="6"/>
        <v>7808.39</v>
      </c>
      <c r="D35" s="6">
        <f t="shared" si="6"/>
        <v>261.92</v>
      </c>
      <c r="E35" s="6">
        <f t="shared" si="6"/>
        <v>4421.1899999999996</v>
      </c>
      <c r="F35" s="6">
        <f t="shared" si="6"/>
        <v>2833.9999999999995</v>
      </c>
      <c r="G35" s="6">
        <f t="shared" si="6"/>
        <v>1149.1699999999998</v>
      </c>
      <c r="H35" s="6">
        <f t="shared" si="6"/>
        <v>703.28</v>
      </c>
      <c r="I35" s="6">
        <f t="shared" si="6"/>
        <v>2430.3900000000003</v>
      </c>
      <c r="J35" s="6">
        <f t="shared" si="6"/>
        <v>0</v>
      </c>
      <c r="K35" s="6">
        <f t="shared" si="6"/>
        <v>0</v>
      </c>
      <c r="L35" s="6">
        <f t="shared" si="6"/>
        <v>252.72</v>
      </c>
      <c r="M35" s="6">
        <f t="shared" si="6"/>
        <v>5918.05</v>
      </c>
      <c r="N35" s="6">
        <f t="shared" si="6"/>
        <v>294.94</v>
      </c>
      <c r="O35" s="6">
        <f t="shared" si="6"/>
        <v>14.5</v>
      </c>
      <c r="P35" s="6">
        <f t="shared" si="6"/>
        <v>5170.7699999999995</v>
      </c>
      <c r="Q35" s="6">
        <f t="shared" si="6"/>
        <v>14604.79</v>
      </c>
      <c r="R35" s="6">
        <f t="shared" si="6"/>
        <v>1971.2400000000002</v>
      </c>
      <c r="S35" s="6">
        <f t="shared" si="6"/>
        <v>2284.9499999999998</v>
      </c>
      <c r="T35" s="6">
        <f t="shared" si="6"/>
        <v>0</v>
      </c>
      <c r="U35" s="6">
        <f t="shared" si="6"/>
        <v>16636.750000000004</v>
      </c>
      <c r="V35" s="6">
        <f t="shared" si="6"/>
        <v>3812.96</v>
      </c>
      <c r="W35" s="6">
        <f t="shared" si="6"/>
        <v>8335</v>
      </c>
      <c r="X35" s="6">
        <f t="shared" si="6"/>
        <v>261.54000000000002</v>
      </c>
      <c r="Y35" s="6">
        <f t="shared" si="6"/>
        <v>3042.6900000000005</v>
      </c>
      <c r="Z35" s="6">
        <f t="shared" si="6"/>
        <v>0</v>
      </c>
      <c r="AA35" s="6">
        <f t="shared" si="6"/>
        <v>5234.05</v>
      </c>
      <c r="AB35" s="6">
        <f t="shared" si="6"/>
        <v>0</v>
      </c>
      <c r="AC35" s="6">
        <f t="shared" si="4"/>
        <v>94878.71</v>
      </c>
    </row>
    <row r="36" spans="1:29" x14ac:dyDescent="0.25">
      <c r="A36" s="3" t="s">
        <v>58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>
        <f t="shared" si="4"/>
        <v>0</v>
      </c>
    </row>
    <row r="37" spans="1:29" x14ac:dyDescent="0.25">
      <c r="A37" s="3" t="s">
        <v>59</v>
      </c>
      <c r="B37" s="5">
        <f>1120</f>
        <v>1120</v>
      </c>
      <c r="C37" s="5">
        <f>53.25</f>
        <v>53.25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>
        <f>1266.31</f>
        <v>1266.31</v>
      </c>
      <c r="V37" s="4"/>
      <c r="W37" s="4"/>
      <c r="X37" s="4"/>
      <c r="Y37" s="5">
        <f>126.5</f>
        <v>126.5</v>
      </c>
      <c r="Z37" s="4"/>
      <c r="AA37" s="4"/>
      <c r="AB37" s="4"/>
      <c r="AC37" s="5">
        <f t="shared" si="4"/>
        <v>2566.06</v>
      </c>
    </row>
    <row r="38" spans="1:29" x14ac:dyDescent="0.25">
      <c r="A38" s="3" t="s">
        <v>60</v>
      </c>
      <c r="B38" s="5">
        <f>609.83</f>
        <v>609.83000000000004</v>
      </c>
      <c r="C38" s="4"/>
      <c r="D38" s="4"/>
      <c r="E38" s="5">
        <f>479.15</f>
        <v>479.15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>
        <f t="shared" si="4"/>
        <v>1088.98</v>
      </c>
    </row>
    <row r="39" spans="1:29" x14ac:dyDescent="0.25">
      <c r="A39" s="3" t="s">
        <v>61</v>
      </c>
      <c r="B39" s="5">
        <f>162.18</f>
        <v>162.18</v>
      </c>
      <c r="C39" s="5">
        <f>121.32</f>
        <v>121.32</v>
      </c>
      <c r="D39" s="4"/>
      <c r="E39" s="5">
        <f>1112.1</f>
        <v>1112.0999999999999</v>
      </c>
      <c r="F39" s="5">
        <f>20.22</f>
        <v>20.22</v>
      </c>
      <c r="G39" s="5">
        <f>20.22</f>
        <v>20.22</v>
      </c>
      <c r="H39" s="5">
        <f>40.44</f>
        <v>40.44</v>
      </c>
      <c r="I39" s="4"/>
      <c r="J39" s="4"/>
      <c r="K39" s="4"/>
      <c r="L39" s="5">
        <f>20.22</f>
        <v>20.22</v>
      </c>
      <c r="M39" s="4"/>
      <c r="N39" s="4"/>
      <c r="O39" s="4"/>
      <c r="P39" s="5">
        <f>20.22</f>
        <v>20.22</v>
      </c>
      <c r="Q39" s="4"/>
      <c r="R39" s="4"/>
      <c r="S39" s="4"/>
      <c r="T39" s="4"/>
      <c r="U39" s="5">
        <f>181.98</f>
        <v>181.98</v>
      </c>
      <c r="V39" s="5">
        <f>40.44</f>
        <v>40.44</v>
      </c>
      <c r="W39" s="5">
        <f>60.66</f>
        <v>60.66</v>
      </c>
      <c r="X39" s="4"/>
      <c r="Y39" s="4"/>
      <c r="Z39" s="4"/>
      <c r="AA39" s="4"/>
      <c r="AB39" s="4"/>
      <c r="AC39" s="5">
        <f t="shared" si="4"/>
        <v>1800.0000000000002</v>
      </c>
    </row>
    <row r="40" spans="1:29" x14ac:dyDescent="0.25">
      <c r="A40" s="3" t="s">
        <v>62</v>
      </c>
      <c r="B40" s="6">
        <f t="shared" ref="B40:AB40" si="7">(((B36)+(B37))+(B38))+(B39)</f>
        <v>1892.01</v>
      </c>
      <c r="C40" s="6">
        <f t="shared" si="7"/>
        <v>174.57</v>
      </c>
      <c r="D40" s="6">
        <f t="shared" si="7"/>
        <v>0</v>
      </c>
      <c r="E40" s="6">
        <f t="shared" si="7"/>
        <v>1591.25</v>
      </c>
      <c r="F40" s="6">
        <f t="shared" si="7"/>
        <v>20.22</v>
      </c>
      <c r="G40" s="6">
        <f t="shared" si="7"/>
        <v>20.22</v>
      </c>
      <c r="H40" s="6">
        <f t="shared" si="7"/>
        <v>40.44</v>
      </c>
      <c r="I40" s="6">
        <f t="shared" si="7"/>
        <v>0</v>
      </c>
      <c r="J40" s="6">
        <f t="shared" si="7"/>
        <v>0</v>
      </c>
      <c r="K40" s="6">
        <f t="shared" si="7"/>
        <v>0</v>
      </c>
      <c r="L40" s="6">
        <f t="shared" si="7"/>
        <v>20.22</v>
      </c>
      <c r="M40" s="6">
        <f t="shared" si="7"/>
        <v>0</v>
      </c>
      <c r="N40" s="6">
        <f t="shared" si="7"/>
        <v>0</v>
      </c>
      <c r="O40" s="6">
        <f t="shared" si="7"/>
        <v>0</v>
      </c>
      <c r="P40" s="6">
        <f t="shared" si="7"/>
        <v>20.22</v>
      </c>
      <c r="Q40" s="6">
        <f t="shared" si="7"/>
        <v>0</v>
      </c>
      <c r="R40" s="6">
        <f t="shared" si="7"/>
        <v>0</v>
      </c>
      <c r="S40" s="6">
        <f t="shared" si="7"/>
        <v>0</v>
      </c>
      <c r="T40" s="6">
        <f t="shared" si="7"/>
        <v>0</v>
      </c>
      <c r="U40" s="6">
        <f t="shared" si="7"/>
        <v>1448.29</v>
      </c>
      <c r="V40" s="6">
        <f t="shared" si="7"/>
        <v>40.44</v>
      </c>
      <c r="W40" s="6">
        <f t="shared" si="7"/>
        <v>60.66</v>
      </c>
      <c r="X40" s="6">
        <f t="shared" si="7"/>
        <v>0</v>
      </c>
      <c r="Y40" s="6">
        <f t="shared" si="7"/>
        <v>126.5</v>
      </c>
      <c r="Z40" s="6">
        <f t="shared" si="7"/>
        <v>0</v>
      </c>
      <c r="AA40" s="6">
        <f t="shared" si="7"/>
        <v>0</v>
      </c>
      <c r="AB40" s="6">
        <f t="shared" si="7"/>
        <v>0</v>
      </c>
      <c r="AC40" s="6">
        <f t="shared" si="4"/>
        <v>5455.0399999999981</v>
      </c>
    </row>
    <row r="41" spans="1:29" x14ac:dyDescent="0.25">
      <c r="A41" s="3" t="s">
        <v>63</v>
      </c>
      <c r="B41" s="5">
        <f>3266.25</f>
        <v>3266.25</v>
      </c>
      <c r="C41" s="4"/>
      <c r="D41" s="4"/>
      <c r="E41" s="5">
        <f>83.75</f>
        <v>83.75</v>
      </c>
      <c r="F41" s="4"/>
      <c r="G41" s="5">
        <f>797.02</f>
        <v>797.02</v>
      </c>
      <c r="H41" s="4"/>
      <c r="I41" s="4"/>
      <c r="J41" s="4"/>
      <c r="K41" s="4"/>
      <c r="L41" s="4"/>
      <c r="M41" s="4"/>
      <c r="N41" s="4"/>
      <c r="O41" s="4"/>
      <c r="P41" s="5">
        <f>10421.24</f>
        <v>10421.24</v>
      </c>
      <c r="Q41" s="4"/>
      <c r="R41" s="4"/>
      <c r="S41" s="4"/>
      <c r="T41" s="4"/>
      <c r="U41" s="4"/>
      <c r="V41" s="4"/>
      <c r="W41" s="5">
        <f>8370.72</f>
        <v>8370.7199999999993</v>
      </c>
      <c r="X41" s="4"/>
      <c r="Y41" s="5">
        <f>170</f>
        <v>170</v>
      </c>
      <c r="Z41" s="4"/>
      <c r="AA41" s="4"/>
      <c r="AB41" s="4"/>
      <c r="AC41" s="5">
        <f t="shared" si="4"/>
        <v>23108.98</v>
      </c>
    </row>
    <row r="42" spans="1:29" x14ac:dyDescent="0.25">
      <c r="A42" s="3" t="s">
        <v>64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>
        <f t="shared" si="4"/>
        <v>0</v>
      </c>
    </row>
    <row r="43" spans="1:29" x14ac:dyDescent="0.25">
      <c r="A43" s="3" t="s">
        <v>65</v>
      </c>
      <c r="B43" s="4"/>
      <c r="C43" s="4"/>
      <c r="D43" s="4"/>
      <c r="E43" s="5">
        <f>5214</f>
        <v>5214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>
        <f t="shared" si="4"/>
        <v>5214</v>
      </c>
    </row>
    <row r="44" spans="1:29" x14ac:dyDescent="0.25">
      <c r="A44" s="3" t="s">
        <v>66</v>
      </c>
      <c r="B44" s="5">
        <f>452.1</f>
        <v>452.1</v>
      </c>
      <c r="C44" s="4"/>
      <c r="D44" s="4"/>
      <c r="E44" s="5">
        <f>917.9</f>
        <v>917.9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>
        <f t="shared" si="4"/>
        <v>1370</v>
      </c>
    </row>
    <row r="45" spans="1:29" x14ac:dyDescent="0.25">
      <c r="A45" s="3" t="s">
        <v>67</v>
      </c>
      <c r="B45" s="5">
        <f>311.37</f>
        <v>311.37</v>
      </c>
      <c r="C45" s="4"/>
      <c r="D45" s="4"/>
      <c r="E45" s="5">
        <f>632.17</f>
        <v>632.16999999999996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5">
        <f t="shared" si="4"/>
        <v>943.54</v>
      </c>
    </row>
    <row r="46" spans="1:29" x14ac:dyDescent="0.25">
      <c r="A46" s="3" t="s">
        <v>68</v>
      </c>
      <c r="B46" s="5">
        <f>192.2</f>
        <v>192.2</v>
      </c>
      <c r="C46" s="4"/>
      <c r="D46" s="4"/>
      <c r="E46" s="5">
        <f>17630.09</f>
        <v>17630.09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5">
        <f t="shared" si="4"/>
        <v>17822.29</v>
      </c>
    </row>
    <row r="47" spans="1:29" x14ac:dyDescent="0.25">
      <c r="A47" s="3" t="s">
        <v>69</v>
      </c>
      <c r="B47" s="5">
        <f>980.18</f>
        <v>980.18</v>
      </c>
      <c r="C47" s="4"/>
      <c r="D47" s="4"/>
      <c r="E47" s="5">
        <f>1990.07</f>
        <v>1990.07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>
        <f t="shared" si="4"/>
        <v>2970.25</v>
      </c>
    </row>
    <row r="48" spans="1:29" x14ac:dyDescent="0.25">
      <c r="A48" s="3" t="s">
        <v>70</v>
      </c>
      <c r="B48" s="5">
        <f>397.13</f>
        <v>397.13</v>
      </c>
      <c r="C48" s="5">
        <f>85.32</f>
        <v>85.32</v>
      </c>
      <c r="D48" s="4"/>
      <c r="E48" s="5">
        <f>18.33</f>
        <v>18.329999999999998</v>
      </c>
      <c r="F48" s="4"/>
      <c r="G48" s="4"/>
      <c r="H48" s="5">
        <f>36.66</f>
        <v>36.659999999999997</v>
      </c>
      <c r="I48" s="4"/>
      <c r="J48" s="4"/>
      <c r="K48" s="4"/>
      <c r="L48" s="4"/>
      <c r="M48" s="4"/>
      <c r="N48" s="5">
        <f>18.33</f>
        <v>18.329999999999998</v>
      </c>
      <c r="O48" s="4"/>
      <c r="P48" s="5">
        <f>36.66</f>
        <v>36.659999999999997</v>
      </c>
      <c r="Q48" s="4"/>
      <c r="R48" s="4"/>
      <c r="S48" s="4"/>
      <c r="T48" s="4"/>
      <c r="U48" s="5">
        <f>219.97</f>
        <v>219.97</v>
      </c>
      <c r="V48" s="4"/>
      <c r="W48" s="5">
        <f>54.99</f>
        <v>54.99</v>
      </c>
      <c r="X48" s="4"/>
      <c r="Y48" s="5">
        <f>18.33</f>
        <v>18.329999999999998</v>
      </c>
      <c r="Z48" s="4"/>
      <c r="AA48" s="5">
        <f>234.66</f>
        <v>234.66</v>
      </c>
      <c r="AB48" s="4"/>
      <c r="AC48" s="5">
        <f t="shared" si="4"/>
        <v>1120.3800000000001</v>
      </c>
    </row>
    <row r="49" spans="1:29" x14ac:dyDescent="0.25">
      <c r="A49" s="3" t="s">
        <v>71</v>
      </c>
      <c r="B49" s="4"/>
      <c r="C49" s="4"/>
      <c r="D49" s="4"/>
      <c r="E49" s="5">
        <f>0</f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5">
        <f t="shared" si="4"/>
        <v>0</v>
      </c>
    </row>
    <row r="50" spans="1:29" x14ac:dyDescent="0.25">
      <c r="A50" s="3" t="s">
        <v>72</v>
      </c>
      <c r="B50" s="4"/>
      <c r="C50" s="4"/>
      <c r="D50" s="4"/>
      <c r="E50" s="5">
        <f>4524.76</f>
        <v>4524.76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>
        <f>1131.19</f>
        <v>1131.19</v>
      </c>
      <c r="X50" s="4"/>
      <c r="Y50" s="4"/>
      <c r="Z50" s="4"/>
      <c r="AA50" s="5">
        <f>268.66</f>
        <v>268.66000000000003</v>
      </c>
      <c r="AB50" s="4"/>
      <c r="AC50" s="5">
        <f t="shared" si="4"/>
        <v>5924.6100000000006</v>
      </c>
    </row>
    <row r="51" spans="1:29" x14ac:dyDescent="0.25">
      <c r="A51" s="3" t="s">
        <v>73</v>
      </c>
      <c r="B51" s="6">
        <f t="shared" ref="B51:AB51" si="8">((((((((B42)+(B43))+(B44))+(B45))+(B46))+(B47))+(B48))+(B49))+(B50)</f>
        <v>2332.98</v>
      </c>
      <c r="C51" s="6">
        <f t="shared" si="8"/>
        <v>85.32</v>
      </c>
      <c r="D51" s="6">
        <f t="shared" si="8"/>
        <v>0</v>
      </c>
      <c r="E51" s="6">
        <f t="shared" si="8"/>
        <v>30927.32</v>
      </c>
      <c r="F51" s="6">
        <f t="shared" si="8"/>
        <v>0</v>
      </c>
      <c r="G51" s="6">
        <f t="shared" si="8"/>
        <v>0</v>
      </c>
      <c r="H51" s="6">
        <f t="shared" si="8"/>
        <v>36.659999999999997</v>
      </c>
      <c r="I51" s="6">
        <f t="shared" si="8"/>
        <v>0</v>
      </c>
      <c r="J51" s="6">
        <f t="shared" si="8"/>
        <v>0</v>
      </c>
      <c r="K51" s="6">
        <f t="shared" si="8"/>
        <v>0</v>
      </c>
      <c r="L51" s="6">
        <f t="shared" si="8"/>
        <v>0</v>
      </c>
      <c r="M51" s="6">
        <f t="shared" si="8"/>
        <v>0</v>
      </c>
      <c r="N51" s="6">
        <f t="shared" si="8"/>
        <v>18.329999999999998</v>
      </c>
      <c r="O51" s="6">
        <f t="shared" si="8"/>
        <v>0</v>
      </c>
      <c r="P51" s="6">
        <f t="shared" si="8"/>
        <v>36.659999999999997</v>
      </c>
      <c r="Q51" s="6">
        <f t="shared" si="8"/>
        <v>0</v>
      </c>
      <c r="R51" s="6">
        <f t="shared" si="8"/>
        <v>0</v>
      </c>
      <c r="S51" s="6">
        <f t="shared" si="8"/>
        <v>0</v>
      </c>
      <c r="T51" s="6">
        <f t="shared" si="8"/>
        <v>0</v>
      </c>
      <c r="U51" s="6">
        <f t="shared" si="8"/>
        <v>219.97</v>
      </c>
      <c r="V51" s="6">
        <f t="shared" si="8"/>
        <v>0</v>
      </c>
      <c r="W51" s="6">
        <f t="shared" si="8"/>
        <v>1186.18</v>
      </c>
      <c r="X51" s="6">
        <f t="shared" si="8"/>
        <v>0</v>
      </c>
      <c r="Y51" s="6">
        <f t="shared" si="8"/>
        <v>18.329999999999998</v>
      </c>
      <c r="Z51" s="6">
        <f t="shared" si="8"/>
        <v>0</v>
      </c>
      <c r="AA51" s="6">
        <f t="shared" si="8"/>
        <v>503.32000000000005</v>
      </c>
      <c r="AB51" s="6">
        <f t="shared" si="8"/>
        <v>0</v>
      </c>
      <c r="AC51" s="6">
        <f t="shared" si="4"/>
        <v>35365.070000000014</v>
      </c>
    </row>
    <row r="52" spans="1:29" x14ac:dyDescent="0.25">
      <c r="A52" s="3" t="s">
        <v>74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5">
        <f t="shared" si="4"/>
        <v>0</v>
      </c>
    </row>
    <row r="53" spans="1:29" x14ac:dyDescent="0.25">
      <c r="A53" s="3" t="s">
        <v>75</v>
      </c>
      <c r="B53" s="5">
        <f>150</f>
        <v>150</v>
      </c>
      <c r="C53" s="4"/>
      <c r="D53" s="4"/>
      <c r="E53" s="5">
        <f>90</f>
        <v>90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5">
        <f>60</f>
        <v>60</v>
      </c>
      <c r="V53" s="4"/>
      <c r="W53" s="4"/>
      <c r="X53" s="4"/>
      <c r="Y53" s="4"/>
      <c r="Z53" s="4"/>
      <c r="AA53" s="4"/>
      <c r="AB53" s="4"/>
      <c r="AC53" s="5">
        <f t="shared" ref="AC53:AC71" si="9">((((((((((((((((((((((((((B53)+(C53))+(D53))+(E53))+(F53))+(G53))+(H53))+(I53))+(J53))+(K53))+(L53))+(M53))+(N53))+(O53))+(P53))+(Q53))+(R53))+(S53))+(T53))+(U53))+(V53))+(W53))+(X53))+(Y53))+(Z53))+(AA53))+(AB53)</f>
        <v>300</v>
      </c>
    </row>
    <row r="54" spans="1:29" x14ac:dyDescent="0.25">
      <c r="A54" s="3" t="s">
        <v>76</v>
      </c>
      <c r="B54" s="5">
        <f>272.13</f>
        <v>272.13</v>
      </c>
      <c r="C54" s="5">
        <f>308.89</f>
        <v>308.89</v>
      </c>
      <c r="D54" s="4"/>
      <c r="E54" s="5">
        <f>579.66</f>
        <v>579.66</v>
      </c>
      <c r="F54" s="5">
        <f>18.18</f>
        <v>18.18</v>
      </c>
      <c r="G54" s="4"/>
      <c r="H54" s="4"/>
      <c r="I54" s="4"/>
      <c r="J54" s="4"/>
      <c r="K54" s="4"/>
      <c r="L54" s="4"/>
      <c r="M54" s="4"/>
      <c r="N54" s="5">
        <f>17.32</f>
        <v>17.32</v>
      </c>
      <c r="O54" s="4"/>
      <c r="P54" s="5">
        <f>54.38</f>
        <v>54.38</v>
      </c>
      <c r="Q54" s="4"/>
      <c r="R54" s="4"/>
      <c r="S54" s="4"/>
      <c r="T54" s="4"/>
      <c r="U54" s="5">
        <f>384.84</f>
        <v>384.84</v>
      </c>
      <c r="V54" s="5">
        <f>97.54</f>
        <v>97.54</v>
      </c>
      <c r="W54" s="5">
        <f>158</f>
        <v>158</v>
      </c>
      <c r="X54" s="4"/>
      <c r="Y54" s="4"/>
      <c r="Z54" s="4"/>
      <c r="AA54" s="4"/>
      <c r="AB54" s="4"/>
      <c r="AC54" s="5">
        <f t="shared" si="9"/>
        <v>1890.9399999999998</v>
      </c>
    </row>
    <row r="55" spans="1:29" x14ac:dyDescent="0.25">
      <c r="A55" s="3" t="s">
        <v>77</v>
      </c>
      <c r="B55" s="5">
        <f>2185.91</f>
        <v>2185.91</v>
      </c>
      <c r="C55" s="5">
        <f>181.56</f>
        <v>181.56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5">
        <f>214.77</f>
        <v>214.77</v>
      </c>
      <c r="AA55" s="4"/>
      <c r="AB55" s="4"/>
      <c r="AC55" s="5">
        <f t="shared" si="9"/>
        <v>2582.2399999999998</v>
      </c>
    </row>
    <row r="56" spans="1:29" x14ac:dyDescent="0.25">
      <c r="A56" s="3" t="s">
        <v>78</v>
      </c>
      <c r="B56" s="5">
        <f>19774.55</f>
        <v>19774.55</v>
      </c>
      <c r="C56" s="5">
        <f>3382.04</f>
        <v>3382.04</v>
      </c>
      <c r="D56" s="4"/>
      <c r="E56" s="5">
        <f>12438.7</f>
        <v>12438.7</v>
      </c>
      <c r="F56" s="5">
        <f>194.63</f>
        <v>194.63</v>
      </c>
      <c r="G56" s="5">
        <f>0</f>
        <v>0</v>
      </c>
      <c r="H56" s="4"/>
      <c r="I56" s="4"/>
      <c r="J56" s="4"/>
      <c r="K56" s="4"/>
      <c r="L56" s="4"/>
      <c r="M56" s="4"/>
      <c r="N56" s="4"/>
      <c r="O56" s="4"/>
      <c r="P56" s="5">
        <f>34469.33</f>
        <v>34469.33</v>
      </c>
      <c r="Q56" s="4"/>
      <c r="R56" s="4"/>
      <c r="S56" s="4"/>
      <c r="T56" s="4"/>
      <c r="U56" s="5">
        <f>624.1</f>
        <v>624.1</v>
      </c>
      <c r="V56" s="5">
        <f>36.66</f>
        <v>36.659999999999997</v>
      </c>
      <c r="W56" s="5">
        <f>6623.72</f>
        <v>6623.72</v>
      </c>
      <c r="X56" s="4"/>
      <c r="Y56" s="5">
        <f>3000</f>
        <v>3000</v>
      </c>
      <c r="Z56" s="4"/>
      <c r="AA56" s="5">
        <f>3000</f>
        <v>3000</v>
      </c>
      <c r="AB56" s="4"/>
      <c r="AC56" s="5">
        <f t="shared" si="9"/>
        <v>83543.73000000001</v>
      </c>
    </row>
    <row r="57" spans="1:29" x14ac:dyDescent="0.25">
      <c r="A57" s="3" t="s">
        <v>79</v>
      </c>
      <c r="B57" s="6">
        <f t="shared" ref="B57:AB57" si="10">((((B52)+(B53))+(B54))+(B55))+(B56)</f>
        <v>22382.59</v>
      </c>
      <c r="C57" s="6">
        <f t="shared" si="10"/>
        <v>3872.49</v>
      </c>
      <c r="D57" s="6">
        <f t="shared" si="10"/>
        <v>0</v>
      </c>
      <c r="E57" s="6">
        <f t="shared" si="10"/>
        <v>13108.36</v>
      </c>
      <c r="F57" s="6">
        <f t="shared" si="10"/>
        <v>212.81</v>
      </c>
      <c r="G57" s="6">
        <f t="shared" si="10"/>
        <v>0</v>
      </c>
      <c r="H57" s="6">
        <f t="shared" si="10"/>
        <v>0</v>
      </c>
      <c r="I57" s="6">
        <f t="shared" si="10"/>
        <v>0</v>
      </c>
      <c r="J57" s="6">
        <f t="shared" si="10"/>
        <v>0</v>
      </c>
      <c r="K57" s="6">
        <f t="shared" si="10"/>
        <v>0</v>
      </c>
      <c r="L57" s="6">
        <f t="shared" si="10"/>
        <v>0</v>
      </c>
      <c r="M57" s="6">
        <f t="shared" si="10"/>
        <v>0</v>
      </c>
      <c r="N57" s="6">
        <f t="shared" si="10"/>
        <v>17.32</v>
      </c>
      <c r="O57" s="6">
        <f t="shared" si="10"/>
        <v>0</v>
      </c>
      <c r="P57" s="6">
        <f t="shared" si="10"/>
        <v>34523.71</v>
      </c>
      <c r="Q57" s="6">
        <f t="shared" si="10"/>
        <v>0</v>
      </c>
      <c r="R57" s="6">
        <f t="shared" si="10"/>
        <v>0</v>
      </c>
      <c r="S57" s="6">
        <f t="shared" si="10"/>
        <v>0</v>
      </c>
      <c r="T57" s="6">
        <f t="shared" si="10"/>
        <v>0</v>
      </c>
      <c r="U57" s="6">
        <f t="shared" si="10"/>
        <v>1068.94</v>
      </c>
      <c r="V57" s="6">
        <f t="shared" si="10"/>
        <v>134.19999999999999</v>
      </c>
      <c r="W57" s="6">
        <f t="shared" si="10"/>
        <v>6781.72</v>
      </c>
      <c r="X57" s="6">
        <f t="shared" si="10"/>
        <v>0</v>
      </c>
      <c r="Y57" s="6">
        <f t="shared" si="10"/>
        <v>3000</v>
      </c>
      <c r="Z57" s="6">
        <f t="shared" si="10"/>
        <v>214.77</v>
      </c>
      <c r="AA57" s="6">
        <f t="shared" si="10"/>
        <v>3000</v>
      </c>
      <c r="AB57" s="6">
        <f t="shared" si="10"/>
        <v>0</v>
      </c>
      <c r="AC57" s="6">
        <f t="shared" si="9"/>
        <v>88316.91</v>
      </c>
    </row>
    <row r="58" spans="1:29" x14ac:dyDescent="0.25">
      <c r="A58" s="3" t="s">
        <v>80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5">
        <f t="shared" si="9"/>
        <v>0</v>
      </c>
    </row>
    <row r="59" spans="1:29" x14ac:dyDescent="0.25">
      <c r="A59" s="3" t="s">
        <v>81</v>
      </c>
      <c r="B59" s="4"/>
      <c r="C59" s="5">
        <f>4573.14</f>
        <v>4573.1400000000003</v>
      </c>
      <c r="D59" s="4"/>
      <c r="E59" s="5">
        <f>1593</f>
        <v>1593</v>
      </c>
      <c r="F59" s="4"/>
      <c r="G59" s="4"/>
      <c r="H59" s="4"/>
      <c r="I59" s="4"/>
      <c r="J59" s="4"/>
      <c r="K59" s="4"/>
      <c r="L59" s="4"/>
      <c r="M59" s="5">
        <f>7519.45</f>
        <v>7519.45</v>
      </c>
      <c r="N59" s="4"/>
      <c r="O59" s="4"/>
      <c r="P59" s="4"/>
      <c r="Q59" s="4"/>
      <c r="R59" s="4"/>
      <c r="S59" s="4"/>
      <c r="T59" s="4"/>
      <c r="U59" s="5">
        <f>2500</f>
        <v>2500</v>
      </c>
      <c r="V59" s="4"/>
      <c r="W59" s="5">
        <f>312.07</f>
        <v>312.07</v>
      </c>
      <c r="X59" s="4"/>
      <c r="Y59" s="5">
        <f>455.71</f>
        <v>455.71</v>
      </c>
      <c r="Z59" s="4"/>
      <c r="AA59" s="5">
        <f>3023.45</f>
        <v>3023.45</v>
      </c>
      <c r="AB59" s="4"/>
      <c r="AC59" s="5">
        <f t="shared" si="9"/>
        <v>19976.82</v>
      </c>
    </row>
    <row r="60" spans="1:29" x14ac:dyDescent="0.25">
      <c r="A60" s="3" t="s">
        <v>82</v>
      </c>
      <c r="B60" s="5">
        <f>979</f>
        <v>979</v>
      </c>
      <c r="C60" s="5">
        <f>50</f>
        <v>50</v>
      </c>
      <c r="D60" s="4"/>
      <c r="E60" s="5">
        <f>4799</f>
        <v>4799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5">
        <f>664</f>
        <v>664</v>
      </c>
      <c r="V60" s="5">
        <f>-74</f>
        <v>-74</v>
      </c>
      <c r="W60" s="4"/>
      <c r="X60" s="4"/>
      <c r="Y60" s="5">
        <f>150</f>
        <v>150</v>
      </c>
      <c r="Z60" s="5">
        <f>24446</f>
        <v>24446</v>
      </c>
      <c r="AA60" s="5">
        <f>875</f>
        <v>875</v>
      </c>
      <c r="AB60" s="4"/>
      <c r="AC60" s="5">
        <f t="shared" si="9"/>
        <v>31889</v>
      </c>
    </row>
    <row r="61" spans="1:29" x14ac:dyDescent="0.25">
      <c r="A61" s="3" t="s">
        <v>83</v>
      </c>
      <c r="B61" s="5">
        <f>1407.25</f>
        <v>1407.25</v>
      </c>
      <c r="C61" s="5">
        <f>1484.23</f>
        <v>1484.23</v>
      </c>
      <c r="D61" s="4"/>
      <c r="E61" s="5">
        <f>203.84</f>
        <v>203.84</v>
      </c>
      <c r="F61" s="4"/>
      <c r="G61" s="4"/>
      <c r="H61" s="4"/>
      <c r="I61" s="4"/>
      <c r="J61" s="4"/>
      <c r="K61" s="4"/>
      <c r="L61" s="4"/>
      <c r="M61" s="4"/>
      <c r="N61" s="5">
        <f>1748.02</f>
        <v>1748.02</v>
      </c>
      <c r="O61" s="4"/>
      <c r="P61" s="5">
        <f>441.02</f>
        <v>441.02</v>
      </c>
      <c r="Q61" s="4"/>
      <c r="R61" s="5">
        <f>11025</f>
        <v>11025</v>
      </c>
      <c r="S61" s="4"/>
      <c r="T61" s="4"/>
      <c r="U61" s="5">
        <f>108.9</f>
        <v>108.9</v>
      </c>
      <c r="V61" s="5">
        <f>188.93</f>
        <v>188.93</v>
      </c>
      <c r="W61" s="5">
        <f>4217.69</f>
        <v>4217.6899999999996</v>
      </c>
      <c r="X61" s="4"/>
      <c r="Y61" s="4"/>
      <c r="Z61" s="4"/>
      <c r="AA61" s="5">
        <f>585</f>
        <v>585</v>
      </c>
      <c r="AB61" s="5"/>
      <c r="AC61" s="5">
        <f t="shared" si="9"/>
        <v>21409.88</v>
      </c>
    </row>
    <row r="62" spans="1:29" x14ac:dyDescent="0.25">
      <c r="A62" s="3" t="s">
        <v>84</v>
      </c>
      <c r="B62" s="5">
        <f>327.96</f>
        <v>327.96</v>
      </c>
      <c r="C62" s="4"/>
      <c r="D62" s="4"/>
      <c r="E62" s="4"/>
      <c r="F62" s="4"/>
      <c r="G62" s="4"/>
      <c r="H62" s="4"/>
      <c r="I62" s="4"/>
      <c r="J62" s="4"/>
      <c r="K62" s="5">
        <f>2056.72</f>
        <v>2056.7199999999998</v>
      </c>
      <c r="L62" s="4"/>
      <c r="M62" s="4"/>
      <c r="N62" s="4"/>
      <c r="O62" s="4"/>
      <c r="P62" s="4"/>
      <c r="Q62" s="4"/>
      <c r="R62" s="4"/>
      <c r="S62" s="4"/>
      <c r="T62" s="4"/>
      <c r="U62" s="5">
        <f>-44.91</f>
        <v>-44.91</v>
      </c>
      <c r="V62" s="4"/>
      <c r="W62" s="5">
        <f>707.75</f>
        <v>707.75</v>
      </c>
      <c r="X62" s="4"/>
      <c r="Y62" s="4"/>
      <c r="Z62" s="4"/>
      <c r="AA62" s="5">
        <f>1287.13</f>
        <v>1287.1300000000001</v>
      </c>
      <c r="AB62" s="4"/>
      <c r="AC62" s="5">
        <f t="shared" si="9"/>
        <v>4334.6499999999996</v>
      </c>
    </row>
    <row r="63" spans="1:29" x14ac:dyDescent="0.25">
      <c r="A63" s="3" t="s">
        <v>85</v>
      </c>
      <c r="B63" s="5">
        <f>858.81</f>
        <v>858.81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5">
        <f t="shared" si="9"/>
        <v>858.81</v>
      </c>
    </row>
    <row r="64" spans="1:29" x14ac:dyDescent="0.25">
      <c r="A64" s="3" t="s">
        <v>86</v>
      </c>
      <c r="B64" s="6">
        <f t="shared" ref="B64:AB64" si="11">(((((B58)+(B59))+(B60))+(B61))+(B62))+(B63)</f>
        <v>3573.02</v>
      </c>
      <c r="C64" s="6">
        <f t="shared" si="11"/>
        <v>6107.3700000000008</v>
      </c>
      <c r="D64" s="6">
        <f t="shared" si="11"/>
        <v>0</v>
      </c>
      <c r="E64" s="6">
        <f t="shared" si="11"/>
        <v>6595.84</v>
      </c>
      <c r="F64" s="6">
        <f t="shared" si="11"/>
        <v>0</v>
      </c>
      <c r="G64" s="6">
        <f t="shared" si="11"/>
        <v>0</v>
      </c>
      <c r="H64" s="6">
        <f t="shared" si="11"/>
        <v>0</v>
      </c>
      <c r="I64" s="6">
        <f t="shared" si="11"/>
        <v>0</v>
      </c>
      <c r="J64" s="6">
        <f t="shared" si="11"/>
        <v>0</v>
      </c>
      <c r="K64" s="6">
        <f t="shared" si="11"/>
        <v>2056.7199999999998</v>
      </c>
      <c r="L64" s="6">
        <f t="shared" si="11"/>
        <v>0</v>
      </c>
      <c r="M64" s="6">
        <f t="shared" si="11"/>
        <v>7519.45</v>
      </c>
      <c r="N64" s="6">
        <f t="shared" si="11"/>
        <v>1748.02</v>
      </c>
      <c r="O64" s="6">
        <f t="shared" si="11"/>
        <v>0</v>
      </c>
      <c r="P64" s="6">
        <f t="shared" si="11"/>
        <v>441.02</v>
      </c>
      <c r="Q64" s="6">
        <f t="shared" si="11"/>
        <v>0</v>
      </c>
      <c r="R64" s="6">
        <f t="shared" si="11"/>
        <v>11025</v>
      </c>
      <c r="S64" s="6">
        <f t="shared" si="11"/>
        <v>0</v>
      </c>
      <c r="T64" s="6">
        <f t="shared" si="11"/>
        <v>0</v>
      </c>
      <c r="U64" s="6">
        <f t="shared" si="11"/>
        <v>3227.9900000000002</v>
      </c>
      <c r="V64" s="6">
        <f t="shared" si="11"/>
        <v>114.93</v>
      </c>
      <c r="W64" s="6">
        <f t="shared" si="11"/>
        <v>5237.5099999999993</v>
      </c>
      <c r="X64" s="6">
        <f t="shared" si="11"/>
        <v>0</v>
      </c>
      <c r="Y64" s="6">
        <f t="shared" si="11"/>
        <v>605.71</v>
      </c>
      <c r="Z64" s="6">
        <f t="shared" si="11"/>
        <v>24446</v>
      </c>
      <c r="AA64" s="6">
        <f t="shared" si="11"/>
        <v>5770.58</v>
      </c>
      <c r="AB64" s="6">
        <f t="shared" si="11"/>
        <v>0</v>
      </c>
      <c r="AC64" s="6">
        <f t="shared" si="9"/>
        <v>78469.16</v>
      </c>
    </row>
    <row r="65" spans="1:29" x14ac:dyDescent="0.25">
      <c r="A65" s="3" t="s">
        <v>87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5">
        <f t="shared" si="9"/>
        <v>0</v>
      </c>
    </row>
    <row r="66" spans="1:29" x14ac:dyDescent="0.25">
      <c r="A66" s="3" t="s">
        <v>88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>
        <f>336</f>
        <v>336</v>
      </c>
      <c r="AB66" s="4"/>
      <c r="AC66" s="5">
        <f t="shared" si="9"/>
        <v>336</v>
      </c>
    </row>
    <row r="67" spans="1:29" x14ac:dyDescent="0.25">
      <c r="A67" s="3" t="s">
        <v>89</v>
      </c>
      <c r="B67" s="4"/>
      <c r="C67" s="5">
        <f>3475.59</f>
        <v>3475.59</v>
      </c>
      <c r="D67" s="5">
        <f>205.28</f>
        <v>205.28</v>
      </c>
      <c r="E67" s="5">
        <f>9681.99</f>
        <v>9681.99</v>
      </c>
      <c r="F67" s="5">
        <f>1055.24</f>
        <v>1055.24</v>
      </c>
      <c r="G67" s="5">
        <f>1303.41</f>
        <v>1303.4100000000001</v>
      </c>
      <c r="H67" s="5">
        <f>1042.65</f>
        <v>1042.6500000000001</v>
      </c>
      <c r="I67" s="5">
        <f>799.04</f>
        <v>799.04</v>
      </c>
      <c r="J67" s="4"/>
      <c r="K67" s="5">
        <f>205.67</f>
        <v>205.67</v>
      </c>
      <c r="L67" s="5">
        <f>493.15</f>
        <v>493.15</v>
      </c>
      <c r="M67" s="5">
        <f>8566.09</f>
        <v>8566.09</v>
      </c>
      <c r="N67" s="5">
        <f>667.91</f>
        <v>667.91</v>
      </c>
      <c r="O67" s="5">
        <f>81.16</f>
        <v>81.16</v>
      </c>
      <c r="P67" s="5">
        <f>8365.3</f>
        <v>8365.2999999999993</v>
      </c>
      <c r="Q67" s="5">
        <f>7967.24</f>
        <v>7967.24</v>
      </c>
      <c r="R67" s="5">
        <f>1945.46</f>
        <v>1945.46</v>
      </c>
      <c r="S67" s="5">
        <f>1336.91</f>
        <v>1336.91</v>
      </c>
      <c r="T67" s="5">
        <f>0</f>
        <v>0</v>
      </c>
      <c r="U67" s="5">
        <f>6736.33</f>
        <v>6736.33</v>
      </c>
      <c r="V67" s="5">
        <f>2567.17</f>
        <v>2567.17</v>
      </c>
      <c r="W67" s="5">
        <f>5942.96</f>
        <v>5942.96</v>
      </c>
      <c r="X67" s="5">
        <f>21.05</f>
        <v>21.05</v>
      </c>
      <c r="Y67" s="5">
        <f>3057.15</f>
        <v>3057.15</v>
      </c>
      <c r="Z67" s="5">
        <f>2466.08</f>
        <v>2466.08</v>
      </c>
      <c r="AA67" s="5">
        <f>4774.13</f>
        <v>4774.13</v>
      </c>
      <c r="AB67" s="4"/>
      <c r="AC67" s="5">
        <f t="shared" si="9"/>
        <v>72756.960000000006</v>
      </c>
    </row>
    <row r="68" spans="1:29" x14ac:dyDescent="0.25">
      <c r="A68" s="3" t="s">
        <v>90</v>
      </c>
      <c r="B68" s="6">
        <f t="shared" ref="B68:AB68" si="12">((B65)+(B66))+(B67)</f>
        <v>0</v>
      </c>
      <c r="C68" s="6">
        <f t="shared" si="12"/>
        <v>3475.59</v>
      </c>
      <c r="D68" s="6">
        <f t="shared" si="12"/>
        <v>205.28</v>
      </c>
      <c r="E68" s="6">
        <f t="shared" si="12"/>
        <v>9681.99</v>
      </c>
      <c r="F68" s="6">
        <f t="shared" si="12"/>
        <v>1055.24</v>
      </c>
      <c r="G68" s="6">
        <f t="shared" si="12"/>
        <v>1303.4100000000001</v>
      </c>
      <c r="H68" s="6">
        <f t="shared" si="12"/>
        <v>1042.6500000000001</v>
      </c>
      <c r="I68" s="6">
        <f t="shared" si="12"/>
        <v>799.04</v>
      </c>
      <c r="J68" s="6">
        <f t="shared" si="12"/>
        <v>0</v>
      </c>
      <c r="K68" s="6">
        <f t="shared" si="12"/>
        <v>205.67</v>
      </c>
      <c r="L68" s="6">
        <f t="shared" si="12"/>
        <v>493.15</v>
      </c>
      <c r="M68" s="6">
        <f t="shared" si="12"/>
        <v>8566.09</v>
      </c>
      <c r="N68" s="6">
        <f t="shared" si="12"/>
        <v>667.91</v>
      </c>
      <c r="O68" s="6">
        <f t="shared" si="12"/>
        <v>81.16</v>
      </c>
      <c r="P68" s="6">
        <f t="shared" si="12"/>
        <v>8365.2999999999993</v>
      </c>
      <c r="Q68" s="6">
        <f t="shared" si="12"/>
        <v>7967.24</v>
      </c>
      <c r="R68" s="6">
        <f t="shared" si="12"/>
        <v>1945.46</v>
      </c>
      <c r="S68" s="6">
        <f t="shared" si="12"/>
        <v>1336.91</v>
      </c>
      <c r="T68" s="6">
        <f t="shared" si="12"/>
        <v>0</v>
      </c>
      <c r="U68" s="6">
        <f t="shared" si="12"/>
        <v>6736.33</v>
      </c>
      <c r="V68" s="6">
        <f t="shared" si="12"/>
        <v>2567.17</v>
      </c>
      <c r="W68" s="6">
        <f t="shared" si="12"/>
        <v>5942.96</v>
      </c>
      <c r="X68" s="6">
        <f t="shared" si="12"/>
        <v>21.05</v>
      </c>
      <c r="Y68" s="6">
        <f t="shared" si="12"/>
        <v>3057.15</v>
      </c>
      <c r="Z68" s="6">
        <f t="shared" si="12"/>
        <v>2466.08</v>
      </c>
      <c r="AA68" s="6">
        <f t="shared" si="12"/>
        <v>5110.13</v>
      </c>
      <c r="AB68" s="6">
        <f t="shared" si="12"/>
        <v>0</v>
      </c>
      <c r="AC68" s="6">
        <f t="shared" si="9"/>
        <v>73092.960000000006</v>
      </c>
    </row>
    <row r="69" spans="1:29" x14ac:dyDescent="0.25">
      <c r="A69" s="3" t="s">
        <v>91</v>
      </c>
      <c r="B69" s="6">
        <f t="shared" ref="B69:AB69" si="13">(((((((B24)+(B35))+(B40))+(B41))+(B51))+(B57))+(B64))+(B68)</f>
        <v>75758.53</v>
      </c>
      <c r="C69" s="6">
        <f t="shared" si="13"/>
        <v>46920.460000000006</v>
      </c>
      <c r="D69" s="6">
        <f t="shared" si="13"/>
        <v>4310.96</v>
      </c>
      <c r="E69" s="6">
        <f t="shared" si="13"/>
        <v>106501.86000000002</v>
      </c>
      <c r="F69" s="6">
        <f t="shared" si="13"/>
        <v>11607.589999999998</v>
      </c>
      <c r="G69" s="6">
        <f t="shared" si="13"/>
        <v>14337.529999999999</v>
      </c>
      <c r="H69" s="6">
        <f t="shared" si="13"/>
        <v>11469.17</v>
      </c>
      <c r="I69" s="6">
        <f t="shared" si="13"/>
        <v>10679.07</v>
      </c>
      <c r="J69" s="6">
        <f t="shared" si="13"/>
        <v>0</v>
      </c>
      <c r="K69" s="6">
        <f t="shared" si="13"/>
        <v>2262.39</v>
      </c>
      <c r="L69" s="6">
        <f t="shared" si="13"/>
        <v>5424.67</v>
      </c>
      <c r="M69" s="6">
        <f t="shared" si="13"/>
        <v>94227.01</v>
      </c>
      <c r="N69" s="6">
        <f t="shared" si="13"/>
        <v>7347.0199999999986</v>
      </c>
      <c r="O69" s="6">
        <f t="shared" si="13"/>
        <v>1095.6600000000001</v>
      </c>
      <c r="P69" s="6">
        <f t="shared" si="13"/>
        <v>72222.539999999994</v>
      </c>
      <c r="Q69" s="6">
        <f t="shared" si="13"/>
        <v>74360.91</v>
      </c>
      <c r="R69" s="6">
        <f t="shared" si="13"/>
        <v>21400.019999999997</v>
      </c>
      <c r="S69" s="6">
        <f t="shared" si="13"/>
        <v>18048.32</v>
      </c>
      <c r="T69" s="6">
        <f t="shared" si="13"/>
        <v>0</v>
      </c>
      <c r="U69" s="6">
        <f t="shared" si="13"/>
        <v>90940.42</v>
      </c>
      <c r="V69" s="6">
        <f t="shared" si="13"/>
        <v>20904.120000000003</v>
      </c>
      <c r="W69" s="6">
        <f t="shared" si="13"/>
        <v>65372.530000000006</v>
      </c>
      <c r="X69" s="6">
        <f t="shared" si="13"/>
        <v>1073.51</v>
      </c>
      <c r="Y69" s="6">
        <f t="shared" si="13"/>
        <v>24893.9</v>
      </c>
      <c r="Z69" s="6">
        <f t="shared" si="13"/>
        <v>27126.85</v>
      </c>
      <c r="AA69" s="6">
        <f t="shared" si="13"/>
        <v>38875.06</v>
      </c>
      <c r="AB69" s="6">
        <f t="shared" si="13"/>
        <v>0</v>
      </c>
      <c r="AC69" s="6">
        <f t="shared" si="9"/>
        <v>847160.10000000009</v>
      </c>
    </row>
    <row r="70" spans="1:29" x14ac:dyDescent="0.25">
      <c r="A70" s="3" t="s">
        <v>92</v>
      </c>
      <c r="B70" s="6">
        <f t="shared" ref="B70:AB70" si="14">(B19)-(B69)</f>
        <v>331628.21999999997</v>
      </c>
      <c r="C70" s="6">
        <f t="shared" si="14"/>
        <v>-46920.460000000006</v>
      </c>
      <c r="D70" s="6">
        <f t="shared" si="14"/>
        <v>-4310.96</v>
      </c>
      <c r="E70" s="6">
        <f t="shared" si="14"/>
        <v>-54501.860000000015</v>
      </c>
      <c r="F70" s="6">
        <f t="shared" si="14"/>
        <v>-11607.589999999998</v>
      </c>
      <c r="G70" s="6">
        <f t="shared" si="14"/>
        <v>-14337.529999999999</v>
      </c>
      <c r="H70" s="6">
        <f t="shared" si="14"/>
        <v>-11469.17</v>
      </c>
      <c r="I70" s="6">
        <f t="shared" si="14"/>
        <v>-10679.07</v>
      </c>
      <c r="J70" s="6">
        <f t="shared" si="14"/>
        <v>5911.89</v>
      </c>
      <c r="K70" s="6">
        <f t="shared" si="14"/>
        <v>8937.61</v>
      </c>
      <c r="L70" s="6">
        <f t="shared" si="14"/>
        <v>-5424.67</v>
      </c>
      <c r="M70" s="6">
        <f t="shared" si="14"/>
        <v>-94227.01</v>
      </c>
      <c r="N70" s="6">
        <f t="shared" si="14"/>
        <v>-7347.0199999999986</v>
      </c>
      <c r="O70" s="6">
        <f t="shared" si="14"/>
        <v>-1095.6600000000001</v>
      </c>
      <c r="P70" s="6">
        <f t="shared" si="14"/>
        <v>-72222.539999999994</v>
      </c>
      <c r="Q70" s="6">
        <f t="shared" si="14"/>
        <v>-74360.91</v>
      </c>
      <c r="R70" s="6">
        <f t="shared" si="14"/>
        <v>-21400.019999999997</v>
      </c>
      <c r="S70" s="6">
        <f t="shared" si="14"/>
        <v>-18048.32</v>
      </c>
      <c r="T70" s="6">
        <f t="shared" si="14"/>
        <v>0</v>
      </c>
      <c r="U70" s="6">
        <f t="shared" si="14"/>
        <v>-90940.42</v>
      </c>
      <c r="V70" s="6">
        <f t="shared" si="14"/>
        <v>-20904.120000000003</v>
      </c>
      <c r="W70" s="6">
        <f t="shared" si="14"/>
        <v>-65372.530000000006</v>
      </c>
      <c r="X70" s="6">
        <f t="shared" si="14"/>
        <v>-1073.51</v>
      </c>
      <c r="Y70" s="6">
        <f t="shared" si="14"/>
        <v>-24893.9</v>
      </c>
      <c r="Z70" s="6">
        <f t="shared" si="14"/>
        <v>-27126.85</v>
      </c>
      <c r="AA70" s="6">
        <f t="shared" si="14"/>
        <v>-38875.06</v>
      </c>
      <c r="AB70" s="6">
        <f t="shared" si="14"/>
        <v>0</v>
      </c>
      <c r="AC70" s="6">
        <f t="shared" si="9"/>
        <v>-370661.46000000014</v>
      </c>
    </row>
    <row r="71" spans="1:29" x14ac:dyDescent="0.25">
      <c r="A71" s="3" t="s">
        <v>93</v>
      </c>
      <c r="B71" s="7">
        <f t="shared" ref="B71:AB71" si="15">(B70)+(0)</f>
        <v>331628.21999999997</v>
      </c>
      <c r="C71" s="7">
        <f t="shared" si="15"/>
        <v>-46920.460000000006</v>
      </c>
      <c r="D71" s="7">
        <f t="shared" si="15"/>
        <v>-4310.96</v>
      </c>
      <c r="E71" s="7">
        <f t="shared" si="15"/>
        <v>-54501.860000000015</v>
      </c>
      <c r="F71" s="7">
        <f t="shared" si="15"/>
        <v>-11607.589999999998</v>
      </c>
      <c r="G71" s="7">
        <f t="shared" si="15"/>
        <v>-14337.529999999999</v>
      </c>
      <c r="H71" s="7">
        <f t="shared" si="15"/>
        <v>-11469.17</v>
      </c>
      <c r="I71" s="7">
        <f t="shared" si="15"/>
        <v>-10679.07</v>
      </c>
      <c r="J71" s="7">
        <f t="shared" si="15"/>
        <v>5911.89</v>
      </c>
      <c r="K71" s="7">
        <f t="shared" si="15"/>
        <v>8937.61</v>
      </c>
      <c r="L71" s="7">
        <f t="shared" si="15"/>
        <v>-5424.67</v>
      </c>
      <c r="M71" s="7">
        <f t="shared" si="15"/>
        <v>-94227.01</v>
      </c>
      <c r="N71" s="7">
        <f t="shared" si="15"/>
        <v>-7347.0199999999986</v>
      </c>
      <c r="O71" s="7">
        <f t="shared" si="15"/>
        <v>-1095.6600000000001</v>
      </c>
      <c r="P71" s="7">
        <f t="shared" si="15"/>
        <v>-72222.539999999994</v>
      </c>
      <c r="Q71" s="7">
        <f t="shared" si="15"/>
        <v>-74360.91</v>
      </c>
      <c r="R71" s="7">
        <f t="shared" si="15"/>
        <v>-21400.019999999997</v>
      </c>
      <c r="S71" s="7">
        <f t="shared" si="15"/>
        <v>-18048.32</v>
      </c>
      <c r="T71" s="7">
        <f t="shared" si="15"/>
        <v>0</v>
      </c>
      <c r="U71" s="7">
        <f t="shared" si="15"/>
        <v>-90940.42</v>
      </c>
      <c r="V71" s="7">
        <f t="shared" si="15"/>
        <v>-20904.120000000003</v>
      </c>
      <c r="W71" s="7">
        <f t="shared" si="15"/>
        <v>-65372.530000000006</v>
      </c>
      <c r="X71" s="7">
        <f t="shared" si="15"/>
        <v>-1073.51</v>
      </c>
      <c r="Y71" s="7">
        <f t="shared" si="15"/>
        <v>-24893.9</v>
      </c>
      <c r="Z71" s="7">
        <f t="shared" si="15"/>
        <v>-27126.85</v>
      </c>
      <c r="AA71" s="7">
        <f t="shared" si="15"/>
        <v>-38875.06</v>
      </c>
      <c r="AB71" s="7">
        <f t="shared" si="15"/>
        <v>0</v>
      </c>
      <c r="AC71" s="7">
        <f t="shared" si="9"/>
        <v>-370661.46000000014</v>
      </c>
    </row>
    <row r="72" spans="1:29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5" spans="1:29" x14ac:dyDescent="0.2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</sheetData>
  <sheetProtection algorithmName="SHA-512" hashValue="rQl9F3CLjFDzvloWq4pZHBQ6bja5ZatiAl/o+7C/pFtg7A8VFZi0KhcaqxK+jpk+df4vRAnyGlKwWcG/Pq7fOg==" saltValue="15662prT0mZpnAWYC5kHFQ==" spinCount="100000" sheet="1" objects="1" scenarios="1"/>
  <mergeCells count="4">
    <mergeCell ref="A75:AC75"/>
    <mergeCell ref="A1:AC1"/>
    <mergeCell ref="A2:AC2"/>
    <mergeCell ref="A3:AC3"/>
  </mergeCells>
  <pageMargins left="0.25" right="0.25" top="0.75" bottom="0.75" header="0.3" footer="0.3"/>
  <pageSetup paperSize="5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 by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Faust</cp:lastModifiedBy>
  <cp:lastPrinted>2023-08-31T14:46:54Z</cp:lastPrinted>
  <dcterms:created xsi:type="dcterms:W3CDTF">2023-08-31T14:44:39Z</dcterms:created>
  <dcterms:modified xsi:type="dcterms:W3CDTF">2023-09-01T12:17:38Z</dcterms:modified>
</cp:coreProperties>
</file>