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38A9864D-7E59-485D-A5D7-B6E72294B0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31" i="1" s="1"/>
  <c r="B95" i="1"/>
  <c r="B89" i="1"/>
  <c r="B82" i="1"/>
  <c r="B66" i="1"/>
  <c r="B54" i="1"/>
  <c r="B48" i="1"/>
  <c r="B36" i="1"/>
  <c r="B21" i="1"/>
  <c r="B16" i="1"/>
  <c r="B15" i="1"/>
  <c r="B14" i="1"/>
  <c r="B12" i="1"/>
  <c r="B11" i="1"/>
  <c r="B20" i="1" s="1"/>
  <c r="B10" i="1"/>
  <c r="C97" i="1"/>
  <c r="C96" i="1"/>
  <c r="C94" i="1"/>
  <c r="C93" i="1"/>
  <c r="C92" i="1"/>
  <c r="C95" i="1" s="1"/>
  <c r="C90" i="1"/>
  <c r="C88" i="1"/>
  <c r="C87" i="1"/>
  <c r="C86" i="1"/>
  <c r="C85" i="1"/>
  <c r="C84" i="1"/>
  <c r="C89" i="1" s="1"/>
  <c r="C81" i="1"/>
  <c r="C80" i="1"/>
  <c r="C79" i="1"/>
  <c r="C78" i="1"/>
  <c r="C77" i="1"/>
  <c r="C76" i="1"/>
  <c r="C75" i="1"/>
  <c r="C74" i="1"/>
  <c r="C73" i="1"/>
  <c r="C70" i="1"/>
  <c r="C69" i="1"/>
  <c r="C68" i="1"/>
  <c r="C71" i="1" s="1"/>
  <c r="C65" i="1"/>
  <c r="C64" i="1"/>
  <c r="C63" i="1"/>
  <c r="C62" i="1"/>
  <c r="C61" i="1"/>
  <c r="C60" i="1"/>
  <c r="C59" i="1"/>
  <c r="C58" i="1"/>
  <c r="C57" i="1"/>
  <c r="C55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8" i="1"/>
  <c r="C48" i="1" s="1"/>
  <c r="C37" i="1"/>
  <c r="C35" i="1"/>
  <c r="C34" i="1"/>
  <c r="C28" i="1"/>
  <c r="C27" i="1"/>
  <c r="C29" i="1" s="1"/>
  <c r="C25" i="1"/>
  <c r="C21" i="1"/>
  <c r="C23" i="1" s="1"/>
  <c r="C19" i="1"/>
  <c r="C18" i="1"/>
  <c r="C17" i="1"/>
  <c r="C16" i="1"/>
  <c r="C15" i="1"/>
  <c r="C13" i="1"/>
  <c r="C11" i="1"/>
  <c r="C10" i="1"/>
  <c r="C8" i="1"/>
  <c r="C36" i="1" l="1"/>
  <c r="C54" i="1"/>
  <c r="C66" i="1"/>
  <c r="C98" i="1" s="1"/>
  <c r="C82" i="1"/>
  <c r="C20" i="1"/>
  <c r="C30" i="1" s="1"/>
  <c r="C31" i="1" s="1"/>
  <c r="C99" i="1" s="1"/>
  <c r="C100" i="1" s="1"/>
</calcChain>
</file>

<file path=xl/sharedStrings.xml><?xml version="1.0" encoding="utf-8"?>
<sst xmlns="http://schemas.openxmlformats.org/spreadsheetml/2006/main" count="99" uniqueCount="99">
  <si>
    <t>Total</t>
  </si>
  <si>
    <t>Actual</t>
  </si>
  <si>
    <t>Budget</t>
  </si>
  <si>
    <t>Income</t>
  </si>
  <si>
    <t xml:space="preserve">   30999 BEGINNING BALANCE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</si>
  <si>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</si>
  <si>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</si>
  <si>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</si>
  <si>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</si>
  <si>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</si>
  <si>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</si>
  <si>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</si>
  <si>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</si>
  <si>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</si>
  <si>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</si>
  <si>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</si>
  <si>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</si>
  <si>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</si>
  <si>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</si>
  <si>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</si>
  <si>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</si>
  <si>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</si>
  <si>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</si>
  <si>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</si>
  <si>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</si>
  <si>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</si>
  <si>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</si>
  <si>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</si>
  <si>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</si>
  <si>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</si>
  <si>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</si>
  <si>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</si>
  <si>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</si>
  <si>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</si>
  <si>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</si>
  <si>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</si>
  <si>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</si>
  <si>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</si>
  <si>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</si>
  <si>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</si>
  <si>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</si>
  <si>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</si>
  <si>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</si>
  <si>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</si>
  <si>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</si>
  <si>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</si>
  <si>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</si>
  <si>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</si>
  <si>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</si>
  <si>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</si>
  <si>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</si>
  <si>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</si>
  <si>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</si>
  <si>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</si>
  <si>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</si>
  <si>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</si>
  <si>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</si>
  <si>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</si>
  <si>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</si>
  <si>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</si>
  <si>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</si>
  <si>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</si>
  <si>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</si>
  <si>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</si>
  <si>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</si>
  <si>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</si>
  <si>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</si>
  <si>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</si>
  <si>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</si>
  <si>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</si>
  <si>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</si>
  <si>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</si>
  <si>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40540 ADVERTISING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</si>
  <si>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</si>
  <si>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</si>
  <si>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</si>
  <si>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</si>
  <si>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   40650 TECH RELATED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</si>
  <si>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</si>
  <si>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</si>
  <si>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</si>
  <si>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</si>
  <si>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</si>
  <si>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</si>
  <si>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</si>
  <si>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</si>
  <si>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40721 DEPRECIATION</t>
  </si>
  <si>
    <t xml:space="preserve">   40800 OTHER EXPENSES</t>
  </si>
  <si>
    <t xml:space="preserve">      40810 DUES AND FEES</t>
  </si>
  <si>
    <t xml:space="preserve">      40830 DISTRICT RECORD FEE</t>
  </si>
  <si>
    <t xml:space="preserve">      40933 INDIRECT COSTS</t>
  </si>
  <si>
    <t xml:space="preserve">   Total 40800 OTHER EXPENSES</t>
  </si>
  <si>
    <t xml:space="preserve">   40825 Sustainment</t>
  </si>
  <si>
    <t xml:space="preserve">   40840 CONTINGENCY</t>
  </si>
  <si>
    <t>Total Expenses</t>
  </si>
  <si>
    <t>Net Operating Income</t>
  </si>
  <si>
    <t>Net Income</t>
  </si>
  <si>
    <t>Northern Kentucky Cooperative For Educational Services</t>
  </si>
  <si>
    <t>Budget vs. Actuals: 2023-24 Budget Report - FY24 P&amp;L 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</si>
</sst>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8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6" fillId="0" borderId="0" xfId="0" applyNumberFormat="1" applyFont="1" applyAlignment="1">
      <alignment wrapText="1"/>
    </xf>
    <xf numFmtId="165" fontId="2" fillId="0" borderId="4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tabSelected="1" workbookViewId="0">
      <selection activeCell="B96" sqref="B96"/>
    </sheetView>
  </sheetViews>
  <sheetFormatPr defaultRowHeight="15" x14ac:dyDescent="0.25"/>
  <cols>
    <col min="1" max="1" width="37.85546875" customWidth="1"/>
    <col min="2" max="2" width="24.7109375" customWidth="1"/>
    <col min="3" max="3" width="25.28515625" customWidth="1"/>
  </cols>
  <sheetData>
    <row r="1" spans="1:3" ht="18" x14ac:dyDescent="0.25">
      <c r="A1" s="20" t="s">
        <v>97</v>
      </c>
      <c r="B1" s="19"/>
      <c r="C1" s="19"/>
    </row>
    <row r="2" spans="1:3" ht="18" x14ac:dyDescent="0.25">
      <c r="A2" s="20" t="s">
        <v>98</v>
      </c>
      <c r="B2" s="19"/>
      <c r="C2" s="19"/>
    </row>
    <row r="3" spans="1:3" x14ac:dyDescent="0.25">
      <c r="A3" s="21">
        <v>45108</v>
      </c>
      <c r="B3" s="19"/>
      <c r="C3" s="19"/>
    </row>
    <row r="5" spans="1:3" x14ac:dyDescent="0.25">
      <c r="A5" s="1"/>
      <c r="B5" s="16" t="s">
        <v>0</v>
      </c>
      <c r="C5" s="17"/>
    </row>
    <row r="6" spans="1:3" x14ac:dyDescent="0.25">
      <c r="A6" s="1"/>
      <c r="B6" s="15" t="s">
        <v>1</v>
      </c>
      <c r="C6" s="15" t="s">
        <v>2</v>
      </c>
    </row>
    <row r="7" spans="1:3" x14ac:dyDescent="0.25">
      <c r="A7" s="2" t="s">
        <v>3</v>
      </c>
      <c r="B7" s="3"/>
      <c r="C7" s="3"/>
    </row>
    <row r="8" spans="1:3" x14ac:dyDescent="0.25">
      <c r="A8" s="2" t="s">
        <v>4</v>
      </c>
      <c r="B8" s="3"/>
      <c r="C8" s="4">
        <f>5296.82</f>
        <v>5296.82</v>
      </c>
    </row>
    <row r="9" spans="1:3" x14ac:dyDescent="0.25">
      <c r="A9" s="2" t="s">
        <v>5</v>
      </c>
      <c r="B9" s="3"/>
      <c r="C9" s="3"/>
    </row>
    <row r="10" spans="1:3" x14ac:dyDescent="0.25">
      <c r="A10" s="2" t="s">
        <v>6</v>
      </c>
      <c r="B10" s="4">
        <f>272122.23</f>
        <v>272122.23</v>
      </c>
      <c r="C10" s="4">
        <f>332268</f>
        <v>332268</v>
      </c>
    </row>
    <row r="11" spans="1:3" x14ac:dyDescent="0.25">
      <c r="A11" s="2" t="s">
        <v>7</v>
      </c>
      <c r="B11" s="4">
        <f>9041.33</f>
        <v>9041.33</v>
      </c>
      <c r="C11" s="4">
        <f>18000</f>
        <v>18000</v>
      </c>
    </row>
    <row r="12" spans="1:3" x14ac:dyDescent="0.25">
      <c r="A12" s="2" t="s">
        <v>8</v>
      </c>
      <c r="B12" s="4">
        <f>16591.89</f>
        <v>16591.89</v>
      </c>
      <c r="C12" s="3"/>
    </row>
    <row r="13" spans="1:3" x14ac:dyDescent="0.25">
      <c r="A13" s="2" t="s">
        <v>9</v>
      </c>
      <c r="B13" s="3"/>
      <c r="C13" s="4">
        <f>338435.71</f>
        <v>338435.71</v>
      </c>
    </row>
    <row r="14" spans="1:3" x14ac:dyDescent="0.25">
      <c r="A14" s="2" t="s">
        <v>10</v>
      </c>
      <c r="B14" s="4">
        <f>520</f>
        <v>520</v>
      </c>
      <c r="C14" s="3"/>
    </row>
    <row r="15" spans="1:3" x14ac:dyDescent="0.25">
      <c r="A15" s="2" t="s">
        <v>11</v>
      </c>
      <c r="B15" s="4">
        <f>25159.19</f>
        <v>25159.19</v>
      </c>
      <c r="C15" s="4">
        <f>77000</f>
        <v>77000</v>
      </c>
    </row>
    <row r="16" spans="1:3" x14ac:dyDescent="0.25">
      <c r="A16" s="2" t="s">
        <v>12</v>
      </c>
      <c r="B16" s="4">
        <f>72756.96</f>
        <v>72756.960000000006</v>
      </c>
      <c r="C16" s="4">
        <f>1218320</f>
        <v>1218320</v>
      </c>
    </row>
    <row r="17" spans="1:3" x14ac:dyDescent="0.25">
      <c r="A17" s="2" t="s">
        <v>13</v>
      </c>
      <c r="B17" s="3"/>
      <c r="C17" s="4">
        <f>54700</f>
        <v>54700</v>
      </c>
    </row>
    <row r="18" spans="1:3" x14ac:dyDescent="0.25">
      <c r="A18" s="2" t="s">
        <v>14</v>
      </c>
      <c r="B18" s="3"/>
      <c r="C18" s="4">
        <f>625</f>
        <v>625</v>
      </c>
    </row>
    <row r="19" spans="1:3" x14ac:dyDescent="0.25">
      <c r="A19" s="2" t="s">
        <v>15</v>
      </c>
      <c r="B19" s="3"/>
      <c r="C19" s="4">
        <f>172494</f>
        <v>172494</v>
      </c>
    </row>
    <row r="20" spans="1:3" x14ac:dyDescent="0.25">
      <c r="A20" s="2" t="s">
        <v>16</v>
      </c>
      <c r="B20" s="6">
        <f>((((((((((B9)+(B10))+(B11))+(B12))+(B13))+(B14))+(B15))+(B16))+(B17))+(B18))+(B19)</f>
        <v>396191.60000000003</v>
      </c>
      <c r="C20" s="5">
        <f>((((((((((C9)+(C10))+(C11))+(C12))+(C13))+(C14))+(C15))+(C16))+(C17))+(C18))+(C19)</f>
        <v>2211842.71</v>
      </c>
    </row>
    <row r="21" spans="1:3" x14ac:dyDescent="0.25">
      <c r="A21" s="2" t="s">
        <v>17</v>
      </c>
      <c r="B21" s="4">
        <f>52000</f>
        <v>52000</v>
      </c>
      <c r="C21" s="4">
        <f>2147057</f>
        <v>2147057</v>
      </c>
    </row>
    <row r="22" spans="1:3" x14ac:dyDescent="0.25">
      <c r="A22" s="2" t="s">
        <v>18</v>
      </c>
      <c r="B22" s="7"/>
      <c r="C22" s="3"/>
    </row>
    <row r="23" spans="1:3" x14ac:dyDescent="0.25">
      <c r="A23" s="2" t="s">
        <v>19</v>
      </c>
      <c r="B23" s="14">
        <v>52000</v>
      </c>
      <c r="C23" s="5">
        <f>(C21)+(C22)</f>
        <v>2147057</v>
      </c>
    </row>
    <row r="24" spans="1:3" x14ac:dyDescent="0.25">
      <c r="A24" s="2" t="s">
        <v>20</v>
      </c>
      <c r="B24" s="3">
        <v>23373</v>
      </c>
      <c r="C24" s="3"/>
    </row>
    <row r="25" spans="1:3" x14ac:dyDescent="0.25">
      <c r="A25" s="2" t="s">
        <v>21</v>
      </c>
      <c r="B25" s="3">
        <v>4934.04</v>
      </c>
      <c r="C25" s="4">
        <f>59451</f>
        <v>59451</v>
      </c>
    </row>
    <row r="26" spans="1:3" x14ac:dyDescent="0.25">
      <c r="A26" s="2" t="s">
        <v>22</v>
      </c>
      <c r="B26" s="3"/>
      <c r="C26" s="3"/>
    </row>
    <row r="27" spans="1:3" x14ac:dyDescent="0.25">
      <c r="A27" s="2" t="s">
        <v>23</v>
      </c>
      <c r="B27" s="11"/>
      <c r="C27" s="4">
        <f>3059905.33</f>
        <v>3059905.33</v>
      </c>
    </row>
    <row r="28" spans="1:3" x14ac:dyDescent="0.25">
      <c r="A28" s="2" t="s">
        <v>24</v>
      </c>
      <c r="B28" s="11"/>
      <c r="C28" s="4">
        <f>5415805</f>
        <v>5415805</v>
      </c>
    </row>
    <row r="29" spans="1:3" x14ac:dyDescent="0.25">
      <c r="A29" s="2" t="s">
        <v>25</v>
      </c>
      <c r="B29" s="9">
        <v>0</v>
      </c>
      <c r="C29" s="5">
        <f>((C26)+(C27))+(C28)</f>
        <v>8475710.3300000001</v>
      </c>
    </row>
    <row r="30" spans="1:3" x14ac:dyDescent="0.25">
      <c r="A30" s="2" t="s">
        <v>26</v>
      </c>
      <c r="B30" s="10">
        <f>B20+B23+B24+B25</f>
        <v>476498.64</v>
      </c>
      <c r="C30" s="5">
        <f>(((((C8)+(C20))+(C23))+(C24))+(C25))+(C29)</f>
        <v>12899357.859999999</v>
      </c>
    </row>
    <row r="31" spans="1:3" x14ac:dyDescent="0.25">
      <c r="A31" s="2" t="s">
        <v>27</v>
      </c>
      <c r="B31" s="8">
        <f>B30</f>
        <v>476498.64</v>
      </c>
      <c r="C31" s="5">
        <f>(C30)-(0)</f>
        <v>12899357.859999999</v>
      </c>
    </row>
    <row r="32" spans="1:3" x14ac:dyDescent="0.25">
      <c r="A32" s="2" t="s">
        <v>28</v>
      </c>
      <c r="B32" s="4"/>
      <c r="C32" s="3"/>
    </row>
    <row r="33" spans="1:3" x14ac:dyDescent="0.25">
      <c r="A33" s="2" t="s">
        <v>29</v>
      </c>
      <c r="B33" s="4"/>
      <c r="C33" s="3"/>
    </row>
    <row r="34" spans="1:3" x14ac:dyDescent="0.25">
      <c r="A34" s="2" t="s">
        <v>30</v>
      </c>
      <c r="B34" s="12">
        <v>334790.81</v>
      </c>
      <c r="C34" s="4">
        <f>3934522.53</f>
        <v>3934522.53</v>
      </c>
    </row>
    <row r="35" spans="1:3" x14ac:dyDescent="0.25">
      <c r="A35" s="2" t="s">
        <v>31</v>
      </c>
      <c r="B35" s="13">
        <v>113682.46</v>
      </c>
      <c r="C35" s="4">
        <f>1868479.37</f>
        <v>1868479.37</v>
      </c>
    </row>
    <row r="36" spans="1:3" x14ac:dyDescent="0.25">
      <c r="A36" s="2" t="s">
        <v>32</v>
      </c>
      <c r="B36" s="14">
        <f>B34+B35</f>
        <v>448473.27</v>
      </c>
      <c r="C36" s="5">
        <f>((C33)+(C34))+(C35)</f>
        <v>5803001.9000000004</v>
      </c>
    </row>
    <row r="37" spans="1:3" x14ac:dyDescent="0.25">
      <c r="A37" s="2" t="s">
        <v>33</v>
      </c>
      <c r="B37" s="4"/>
      <c r="C37" s="4">
        <f>82654</f>
        <v>82654</v>
      </c>
    </row>
    <row r="38" spans="1:3" x14ac:dyDescent="0.25">
      <c r="A38" s="2" t="s">
        <v>34</v>
      </c>
      <c r="B38" s="4">
        <v>24.03</v>
      </c>
      <c r="C38" s="4">
        <f>136.2</f>
        <v>136.19999999999999</v>
      </c>
    </row>
    <row r="39" spans="1:3" x14ac:dyDescent="0.25">
      <c r="A39" s="2" t="s">
        <v>35</v>
      </c>
      <c r="B39" s="4">
        <v>6637.4</v>
      </c>
      <c r="C39" s="4">
        <f>122511.56</f>
        <v>122511.56</v>
      </c>
    </row>
    <row r="40" spans="1:3" x14ac:dyDescent="0.25">
      <c r="A40" s="2" t="s">
        <v>36</v>
      </c>
      <c r="B40" s="4">
        <v>6159.92</v>
      </c>
      <c r="C40" s="4">
        <f>75270.58</f>
        <v>75270.58</v>
      </c>
    </row>
    <row r="41" spans="1:3" x14ac:dyDescent="0.25">
      <c r="A41" s="2" t="s">
        <v>37</v>
      </c>
      <c r="B41" s="4">
        <v>34519.54</v>
      </c>
      <c r="C41" s="4">
        <f>275085.12</f>
        <v>275085.12</v>
      </c>
    </row>
    <row r="42" spans="1:3" x14ac:dyDescent="0.25">
      <c r="A42" s="2" t="s">
        <v>38</v>
      </c>
      <c r="B42" s="4">
        <v>23921.26</v>
      </c>
      <c r="C42" s="4">
        <f>444205.79</f>
        <v>444205.79</v>
      </c>
    </row>
    <row r="43" spans="1:3" x14ac:dyDescent="0.25">
      <c r="A43" s="2" t="s">
        <v>39</v>
      </c>
      <c r="B43" s="3">
        <v>17859.3</v>
      </c>
      <c r="C43" s="4">
        <f>366579.53</f>
        <v>366579.53</v>
      </c>
    </row>
    <row r="44" spans="1:3" x14ac:dyDescent="0.25">
      <c r="A44" s="2" t="s">
        <v>40</v>
      </c>
      <c r="B44" s="4">
        <v>630.98</v>
      </c>
      <c r="C44" s="4">
        <f>5473</f>
        <v>5473</v>
      </c>
    </row>
    <row r="45" spans="1:3" x14ac:dyDescent="0.25">
      <c r="A45" s="2" t="s">
        <v>41</v>
      </c>
      <c r="B45" s="4">
        <v>0</v>
      </c>
      <c r="C45" s="4">
        <f>19420.23</f>
        <v>19420.23</v>
      </c>
    </row>
    <row r="46" spans="1:3" x14ac:dyDescent="0.25">
      <c r="A46" s="2" t="s">
        <v>42</v>
      </c>
      <c r="B46" s="12">
        <v>4934.04</v>
      </c>
      <c r="C46" s="4">
        <f>77146.02</f>
        <v>77146.02</v>
      </c>
    </row>
    <row r="47" spans="1:3" x14ac:dyDescent="0.25">
      <c r="A47" s="2" t="s">
        <v>43</v>
      </c>
      <c r="B47" s="13">
        <v>192.24</v>
      </c>
      <c r="C47" s="4">
        <f>1089.6</f>
        <v>1089.5999999999999</v>
      </c>
    </row>
    <row r="48" spans="1:3" x14ac:dyDescent="0.25">
      <c r="A48" s="2" t="s">
        <v>44</v>
      </c>
      <c r="B48" s="14">
        <f>B38+B39+B40+B41+B42+B43+B44+B45+B46+B47</f>
        <v>94878.709999999992</v>
      </c>
      <c r="C48" s="5">
        <f>((((((((((C37)+(C38))+(C39))+(C40))+(C41))+(C42))+(C43))+(C44))+(C45))+(C46))+(C47)</f>
        <v>1469571.6300000001</v>
      </c>
    </row>
    <row r="49" spans="1:3" x14ac:dyDescent="0.25">
      <c r="A49" s="2" t="s">
        <v>45</v>
      </c>
      <c r="B49" s="3"/>
      <c r="C49" s="4">
        <f>1000</f>
        <v>1000</v>
      </c>
    </row>
    <row r="50" spans="1:3" x14ac:dyDescent="0.25">
      <c r="A50" s="2" t="s">
        <v>46</v>
      </c>
      <c r="B50" s="4">
        <v>2566.06</v>
      </c>
      <c r="C50" s="4">
        <f>152500</f>
        <v>152500</v>
      </c>
    </row>
    <row r="51" spans="1:3" x14ac:dyDescent="0.25">
      <c r="A51" s="2" t="s">
        <v>47</v>
      </c>
      <c r="B51" s="4"/>
      <c r="C51" s="4">
        <f>23200</f>
        <v>23200</v>
      </c>
    </row>
    <row r="52" spans="1:3" x14ac:dyDescent="0.25">
      <c r="A52" s="2" t="s">
        <v>48</v>
      </c>
      <c r="B52" s="12">
        <v>1088.98</v>
      </c>
      <c r="C52" s="4">
        <f>16000</f>
        <v>16000</v>
      </c>
    </row>
    <row r="53" spans="1:3" x14ac:dyDescent="0.25">
      <c r="A53" s="2" t="s">
        <v>49</v>
      </c>
      <c r="B53" s="7">
        <v>1800</v>
      </c>
      <c r="C53" s="4">
        <f>35365</f>
        <v>35365</v>
      </c>
    </row>
    <row r="54" spans="1:3" x14ac:dyDescent="0.25">
      <c r="A54" s="2" t="s">
        <v>50</v>
      </c>
      <c r="B54" s="8">
        <f>B50+B52+B53</f>
        <v>5455.04</v>
      </c>
      <c r="C54" s="5">
        <f>((((C49)+(C50))+(C51))+(C52))+(C53)</f>
        <v>228065</v>
      </c>
    </row>
    <row r="55" spans="1:3" x14ac:dyDescent="0.25">
      <c r="A55" s="2" t="s">
        <v>51</v>
      </c>
      <c r="B55" s="4">
        <v>23108.98</v>
      </c>
      <c r="C55" s="4">
        <f>572932</f>
        <v>572932</v>
      </c>
    </row>
    <row r="56" spans="1:3" x14ac:dyDescent="0.25">
      <c r="A56" s="2" t="s">
        <v>52</v>
      </c>
      <c r="B56" s="4"/>
      <c r="C56" s="3"/>
    </row>
    <row r="57" spans="1:3" x14ac:dyDescent="0.25">
      <c r="A57" s="2" t="s">
        <v>53</v>
      </c>
      <c r="B57" s="4">
        <v>5214</v>
      </c>
      <c r="C57" s="4">
        <f>4600</f>
        <v>4600</v>
      </c>
    </row>
    <row r="58" spans="1:3" x14ac:dyDescent="0.25">
      <c r="A58" s="2" t="s">
        <v>54</v>
      </c>
      <c r="B58" s="4">
        <v>1370</v>
      </c>
      <c r="C58" s="4">
        <f>13000</f>
        <v>13000</v>
      </c>
    </row>
    <row r="59" spans="1:3" x14ac:dyDescent="0.25">
      <c r="A59" s="2" t="s">
        <v>55</v>
      </c>
      <c r="B59" s="3">
        <v>943.54</v>
      </c>
      <c r="C59" s="4">
        <f>6500</f>
        <v>6500</v>
      </c>
    </row>
    <row r="60" spans="1:3" x14ac:dyDescent="0.25">
      <c r="A60" s="2" t="s">
        <v>56</v>
      </c>
      <c r="B60" s="4">
        <v>17822.29</v>
      </c>
      <c r="C60" s="4">
        <f>90306</f>
        <v>90306</v>
      </c>
    </row>
    <row r="61" spans="1:3" x14ac:dyDescent="0.25">
      <c r="A61" s="2" t="s">
        <v>57</v>
      </c>
      <c r="B61" s="4"/>
      <c r="C61" s="4">
        <f>47000</f>
        <v>47000</v>
      </c>
    </row>
    <row r="62" spans="1:3" x14ac:dyDescent="0.25">
      <c r="A62" s="2" t="s">
        <v>58</v>
      </c>
      <c r="B62" s="4">
        <v>2970.25</v>
      </c>
      <c r="C62" s="4">
        <f>60000</f>
        <v>60000</v>
      </c>
    </row>
    <row r="63" spans="1:3" x14ac:dyDescent="0.25">
      <c r="A63" s="2" t="s">
        <v>59</v>
      </c>
      <c r="B63" s="4">
        <v>1120.3800000000001</v>
      </c>
      <c r="C63" s="4">
        <f>34501</f>
        <v>34501</v>
      </c>
    </row>
    <row r="64" spans="1:3" x14ac:dyDescent="0.25">
      <c r="A64" s="2" t="s">
        <v>60</v>
      </c>
      <c r="B64" s="12"/>
      <c r="C64" s="4">
        <f>15500</f>
        <v>15500</v>
      </c>
    </row>
    <row r="65" spans="1:3" x14ac:dyDescent="0.25">
      <c r="A65" s="2" t="s">
        <v>61</v>
      </c>
      <c r="B65" s="13">
        <v>5924.61</v>
      </c>
      <c r="C65" s="4">
        <f>61859</f>
        <v>61859</v>
      </c>
    </row>
    <row r="66" spans="1:3" x14ac:dyDescent="0.25">
      <c r="A66" s="2" t="s">
        <v>62</v>
      </c>
      <c r="B66" s="8">
        <f>B57+B58+B59+B60+B61+B62+B63+B64+B65</f>
        <v>35365.07</v>
      </c>
      <c r="C66" s="5">
        <f>(((((((((C56)+(C57))+(C58))+(C59))+(C60))+(C61))+(C62))+(C63))+(C64))+(C65)</f>
        <v>333266</v>
      </c>
    </row>
    <row r="67" spans="1:3" x14ac:dyDescent="0.25">
      <c r="A67" s="2" t="s">
        <v>63</v>
      </c>
      <c r="B67" s="3"/>
      <c r="C67" s="3"/>
    </row>
    <row r="68" spans="1:3" x14ac:dyDescent="0.25">
      <c r="A68" s="2" t="s">
        <v>64</v>
      </c>
      <c r="B68" s="3"/>
      <c r="C68" s="4">
        <f>38200</f>
        <v>38200</v>
      </c>
    </row>
    <row r="69" spans="1:3" x14ac:dyDescent="0.25">
      <c r="A69" s="2" t="s">
        <v>65</v>
      </c>
      <c r="B69" s="11"/>
      <c r="C69" s="4">
        <f>14300</f>
        <v>14300</v>
      </c>
    </row>
    <row r="70" spans="1:3" x14ac:dyDescent="0.25">
      <c r="A70" s="2" t="s">
        <v>66</v>
      </c>
      <c r="B70" s="13"/>
      <c r="C70" s="4">
        <f>725</f>
        <v>725</v>
      </c>
    </row>
    <row r="71" spans="1:3" x14ac:dyDescent="0.25">
      <c r="A71" s="2" t="s">
        <v>67</v>
      </c>
      <c r="B71" s="8">
        <v>0</v>
      </c>
      <c r="C71" s="5">
        <f>(((C67)+(C68))+(C69))+(C70)</f>
        <v>53225</v>
      </c>
    </row>
    <row r="72" spans="1:3" x14ac:dyDescent="0.25">
      <c r="A72" s="2" t="s">
        <v>68</v>
      </c>
      <c r="B72" s="4"/>
      <c r="C72" s="3"/>
    </row>
    <row r="73" spans="1:3" x14ac:dyDescent="0.25">
      <c r="A73" s="2" t="s">
        <v>69</v>
      </c>
      <c r="B73" s="4"/>
      <c r="C73" s="4">
        <f>1435</f>
        <v>1435</v>
      </c>
    </row>
    <row r="74" spans="1:3" x14ac:dyDescent="0.25">
      <c r="A74" s="2" t="s">
        <v>70</v>
      </c>
      <c r="B74" s="3">
        <v>300</v>
      </c>
      <c r="C74" s="4">
        <f>1400</f>
        <v>1400</v>
      </c>
    </row>
    <row r="75" spans="1:3" x14ac:dyDescent="0.25">
      <c r="A75" s="2" t="s">
        <v>71</v>
      </c>
      <c r="B75" s="3">
        <v>1890.94</v>
      </c>
      <c r="C75" s="4">
        <f>23432</f>
        <v>23432</v>
      </c>
    </row>
    <row r="76" spans="1:3" x14ac:dyDescent="0.25">
      <c r="A76" s="2" t="s">
        <v>72</v>
      </c>
      <c r="B76" s="4"/>
      <c r="C76" s="4">
        <f>500</f>
        <v>500</v>
      </c>
    </row>
    <row r="77" spans="1:3" x14ac:dyDescent="0.25">
      <c r="A77" s="2" t="s">
        <v>73</v>
      </c>
      <c r="B77" s="4"/>
      <c r="C77" s="4">
        <f>10600</f>
        <v>10600</v>
      </c>
    </row>
    <row r="78" spans="1:3" x14ac:dyDescent="0.25">
      <c r="A78" s="2" t="s">
        <v>74</v>
      </c>
      <c r="B78" s="3">
        <v>2582.2399999999998</v>
      </c>
      <c r="C78" s="4">
        <f>26499.31</f>
        <v>26499.31</v>
      </c>
    </row>
    <row r="79" spans="1:3" x14ac:dyDescent="0.25">
      <c r="A79" s="2" t="s">
        <v>75</v>
      </c>
      <c r="B79" s="3">
        <v>83543.73</v>
      </c>
      <c r="C79" s="4">
        <f>1546435.64</f>
        <v>1546435.64</v>
      </c>
    </row>
    <row r="80" spans="1:3" x14ac:dyDescent="0.25">
      <c r="A80" s="2" t="s">
        <v>76</v>
      </c>
      <c r="B80" s="11"/>
      <c r="C80" s="4">
        <f>9000</f>
        <v>9000</v>
      </c>
    </row>
    <row r="81" spans="1:3" x14ac:dyDescent="0.25">
      <c r="A81" s="2" t="s">
        <v>77</v>
      </c>
      <c r="B81" s="13"/>
      <c r="C81" s="4">
        <f>1080</f>
        <v>1080</v>
      </c>
    </row>
    <row r="82" spans="1:3" x14ac:dyDescent="0.25">
      <c r="A82" s="2" t="s">
        <v>78</v>
      </c>
      <c r="B82" s="14">
        <f>B74+B75+B78+B79</f>
        <v>88316.91</v>
      </c>
      <c r="C82" s="5">
        <f>(((((((((C72)+(C73))+(C74))+(C75))+(C76))+(C77))+(C78))+(C79))+(C80))+(C81)</f>
        <v>1620381.95</v>
      </c>
    </row>
    <row r="83" spans="1:3" x14ac:dyDescent="0.25">
      <c r="A83" s="2" t="s">
        <v>79</v>
      </c>
      <c r="B83" s="4"/>
      <c r="C83" s="3"/>
    </row>
    <row r="84" spans="1:3" x14ac:dyDescent="0.25">
      <c r="A84" s="2" t="s">
        <v>80</v>
      </c>
      <c r="B84" s="4">
        <v>19976.82</v>
      </c>
      <c r="C84" s="4">
        <f>236565.7</f>
        <v>236565.7</v>
      </c>
    </row>
    <row r="85" spans="1:3" x14ac:dyDescent="0.25">
      <c r="A85" s="2" t="s">
        <v>81</v>
      </c>
      <c r="B85" s="4">
        <v>31889</v>
      </c>
      <c r="C85" s="4">
        <f>164828.3</f>
        <v>164828.29999999999</v>
      </c>
    </row>
    <row r="86" spans="1:3" x14ac:dyDescent="0.25">
      <c r="A86" s="2" t="s">
        <v>82</v>
      </c>
      <c r="B86" s="4">
        <v>21409.88</v>
      </c>
      <c r="C86" s="4">
        <f>653260.24</f>
        <v>653260.24</v>
      </c>
    </row>
    <row r="87" spans="1:3" x14ac:dyDescent="0.25">
      <c r="A87" s="2" t="s">
        <v>83</v>
      </c>
      <c r="B87" s="12">
        <v>4334.6499999999996</v>
      </c>
      <c r="C87" s="4">
        <f>20830.25</f>
        <v>20830.25</v>
      </c>
    </row>
    <row r="88" spans="1:3" x14ac:dyDescent="0.25">
      <c r="A88" s="2" t="s">
        <v>84</v>
      </c>
      <c r="B88" s="13">
        <v>858.81</v>
      </c>
      <c r="C88" s="4">
        <f>11400</f>
        <v>11400</v>
      </c>
    </row>
    <row r="89" spans="1:3" x14ac:dyDescent="0.25">
      <c r="A89" s="2" t="s">
        <v>85</v>
      </c>
      <c r="B89" s="8">
        <f>B84+B85+B86+B87+B88</f>
        <v>78469.159999999989</v>
      </c>
      <c r="C89" s="5">
        <f>(((((C83)+(C84))+(C85))+(C86))+(C87))+(C88)</f>
        <v>1086884.49</v>
      </c>
    </row>
    <row r="90" spans="1:3" x14ac:dyDescent="0.25">
      <c r="A90" s="2" t="s">
        <v>86</v>
      </c>
      <c r="B90" s="4"/>
      <c r="C90" s="4">
        <f>75000</f>
        <v>75000</v>
      </c>
    </row>
    <row r="91" spans="1:3" x14ac:dyDescent="0.25">
      <c r="A91" s="2" t="s">
        <v>87</v>
      </c>
      <c r="B91" s="3"/>
      <c r="C91" s="3"/>
    </row>
    <row r="92" spans="1:3" x14ac:dyDescent="0.25">
      <c r="A92" s="2" t="s">
        <v>88</v>
      </c>
      <c r="B92" s="4">
        <v>336</v>
      </c>
      <c r="C92" s="4">
        <f>18210</f>
        <v>18210</v>
      </c>
    </row>
    <row r="93" spans="1:3" x14ac:dyDescent="0.25">
      <c r="A93" s="2" t="s">
        <v>89</v>
      </c>
      <c r="B93" s="11"/>
      <c r="C93" s="4">
        <f>30000</f>
        <v>30000</v>
      </c>
    </row>
    <row r="94" spans="1:3" x14ac:dyDescent="0.25">
      <c r="A94" s="2" t="s">
        <v>90</v>
      </c>
      <c r="B94" s="13">
        <v>72756.960000000006</v>
      </c>
      <c r="C94" s="4">
        <f>934808.24</f>
        <v>934808.24</v>
      </c>
    </row>
    <row r="95" spans="1:3" x14ac:dyDescent="0.25">
      <c r="A95" s="2" t="s">
        <v>91</v>
      </c>
      <c r="B95" s="8">
        <f>B92+B94</f>
        <v>73092.960000000006</v>
      </c>
      <c r="C95" s="5">
        <f>(((C91)+(C92))+(C93))+(C94)</f>
        <v>983018.24</v>
      </c>
    </row>
    <row r="96" spans="1:3" x14ac:dyDescent="0.25">
      <c r="A96" s="2" t="s">
        <v>92</v>
      </c>
      <c r="B96" s="11"/>
      <c r="C96" s="4">
        <f>514798</f>
        <v>514798</v>
      </c>
    </row>
    <row r="97" spans="1:3" x14ac:dyDescent="0.25">
      <c r="A97" s="2" t="s">
        <v>93</v>
      </c>
      <c r="B97" s="11"/>
      <c r="C97" s="4">
        <f>159213.65</f>
        <v>159213.65</v>
      </c>
    </row>
    <row r="98" spans="1:3" x14ac:dyDescent="0.25">
      <c r="A98" s="2" t="s">
        <v>94</v>
      </c>
      <c r="B98" s="6">
        <v>847160.1</v>
      </c>
      <c r="C98" s="5">
        <f>(((((((((((C36)+(C48))+(C54))+(C55))+(C66))+(C71))+(C82))+(C89))+(C90))+(C95))+(C96))+(C97)</f>
        <v>12899357.860000001</v>
      </c>
    </row>
    <row r="99" spans="1:3" x14ac:dyDescent="0.25">
      <c r="A99" s="2" t="s">
        <v>95</v>
      </c>
      <c r="B99" s="5">
        <v>-370661.46</v>
      </c>
      <c r="C99" s="5">
        <f>(C31)-(C98)</f>
        <v>0</v>
      </c>
    </row>
    <row r="100" spans="1:3" x14ac:dyDescent="0.25">
      <c r="A100" s="2" t="s">
        <v>96</v>
      </c>
      <c r="B100" s="6">
        <v>-370661.46</v>
      </c>
      <c r="C100" s="6">
        <f>(C99)+(0)</f>
        <v>0</v>
      </c>
    </row>
    <row r="101" spans="1:3" x14ac:dyDescent="0.25">
      <c r="A101" s="2"/>
      <c r="B101" s="3"/>
      <c r="C101" s="3"/>
    </row>
    <row r="104" spans="1:3" x14ac:dyDescent="0.25">
      <c r="A104" s="18"/>
      <c r="B104" s="19"/>
      <c r="C104" s="19"/>
    </row>
  </sheetData>
  <mergeCells count="5">
    <mergeCell ref="B5:C5"/>
    <mergeCell ref="A104:C104"/>
    <mergeCell ref="A1:C1"/>
    <mergeCell ref="A2:C2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dcterms:created xsi:type="dcterms:W3CDTF">2023-08-31T14:02:30Z</dcterms:created>
  <dcterms:modified xsi:type="dcterms:W3CDTF">2023-09-01T12:15:20Z</dcterms:modified>
</cp:coreProperties>
</file>