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13_ncr:1_{EE35709E-655B-4CC9-A815-45AD61CF5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C97" i="1"/>
  <c r="C95" i="1"/>
  <c r="C94" i="1"/>
  <c r="C92" i="1"/>
  <c r="C90" i="1"/>
  <c r="C89" i="1"/>
  <c r="C88" i="1"/>
  <c r="C87" i="1"/>
  <c r="C86" i="1"/>
  <c r="C85" i="1"/>
  <c r="C82" i="1"/>
  <c r="C81" i="1"/>
  <c r="C80" i="1"/>
  <c r="C79" i="1"/>
  <c r="C78" i="1"/>
  <c r="C77" i="1"/>
  <c r="C76" i="1"/>
  <c r="C75" i="1"/>
  <c r="C72" i="1"/>
  <c r="C71" i="1"/>
  <c r="C70" i="1"/>
  <c r="C66" i="1"/>
  <c r="C65" i="1"/>
  <c r="C64" i="1"/>
  <c r="C63" i="1"/>
  <c r="C62" i="1"/>
  <c r="C61" i="1"/>
  <c r="C60" i="1"/>
  <c r="C59" i="1"/>
  <c r="C56" i="1"/>
  <c r="C54" i="1"/>
  <c r="C55" i="1" s="1"/>
  <c r="C53" i="1"/>
  <c r="C52" i="1"/>
  <c r="C51" i="1"/>
  <c r="C48" i="1"/>
  <c r="C47" i="1"/>
  <c r="C46" i="1"/>
  <c r="C45" i="1"/>
  <c r="C44" i="1"/>
  <c r="C43" i="1"/>
  <c r="C42" i="1"/>
  <c r="C41" i="1"/>
  <c r="C40" i="1"/>
  <c r="C39" i="1"/>
  <c r="C36" i="1"/>
  <c r="C35" i="1"/>
  <c r="C34" i="1"/>
  <c r="C37" i="1" s="1"/>
  <c r="C29" i="1"/>
  <c r="C28" i="1"/>
  <c r="C22" i="1"/>
  <c r="C24" i="1" s="1"/>
  <c r="C20" i="1"/>
  <c r="C19" i="1"/>
  <c r="C18" i="1"/>
  <c r="C17" i="1"/>
  <c r="C16" i="1"/>
  <c r="C13" i="1"/>
  <c r="C12" i="1"/>
  <c r="C11" i="1"/>
  <c r="C10" i="1"/>
  <c r="C21" i="1" s="1"/>
  <c r="C8" i="1"/>
  <c r="C83" i="1" l="1"/>
  <c r="C68" i="1"/>
  <c r="C91" i="1"/>
  <c r="C30" i="1"/>
  <c r="C31" i="1" s="1"/>
  <c r="C32" i="1" s="1"/>
  <c r="C49" i="1"/>
  <c r="C100" i="1" s="1"/>
  <c r="C73" i="1"/>
  <c r="C98" i="1"/>
  <c r="C101" i="1" l="1"/>
  <c r="C102" i="1" s="1"/>
  <c r="B97" i="1"/>
  <c r="B96" i="1"/>
  <c r="B95" i="1"/>
  <c r="B94" i="1"/>
  <c r="B98" i="1" s="1"/>
  <c r="B90" i="1"/>
  <c r="B89" i="1"/>
  <c r="B87" i="1"/>
  <c r="B86" i="1"/>
  <c r="B85" i="1"/>
  <c r="B82" i="1"/>
  <c r="B81" i="1"/>
  <c r="B80" i="1"/>
  <c r="B79" i="1"/>
  <c r="B77" i="1"/>
  <c r="B76" i="1"/>
  <c r="B75" i="1"/>
  <c r="B71" i="1"/>
  <c r="B70" i="1"/>
  <c r="B73" i="1" s="1"/>
  <c r="B67" i="1"/>
  <c r="B66" i="1"/>
  <c r="B65" i="1"/>
  <c r="B64" i="1"/>
  <c r="B63" i="1"/>
  <c r="B62" i="1"/>
  <c r="B61" i="1"/>
  <c r="B60" i="1"/>
  <c r="B59" i="1"/>
  <c r="B68" i="1" s="1"/>
  <c r="B58" i="1"/>
  <c r="B56" i="1"/>
  <c r="B54" i="1"/>
  <c r="B53" i="1"/>
  <c r="B52" i="1"/>
  <c r="B51" i="1"/>
  <c r="B55" i="1" s="1"/>
  <c r="B48" i="1"/>
  <c r="B47" i="1"/>
  <c r="B46" i="1"/>
  <c r="B45" i="1"/>
  <c r="B44" i="1"/>
  <c r="B43" i="1"/>
  <c r="B42" i="1"/>
  <c r="B41" i="1"/>
  <c r="B40" i="1"/>
  <c r="B39" i="1"/>
  <c r="B38" i="1"/>
  <c r="B36" i="1"/>
  <c r="B35" i="1"/>
  <c r="B29" i="1"/>
  <c r="B28" i="1"/>
  <c r="B27" i="1"/>
  <c r="B30" i="1" s="1"/>
  <c r="B26" i="1"/>
  <c r="B25" i="1"/>
  <c r="B23" i="1"/>
  <c r="B22" i="1"/>
  <c r="B20" i="1"/>
  <c r="B19" i="1"/>
  <c r="B18" i="1"/>
  <c r="B17" i="1"/>
  <c r="B16" i="1"/>
  <c r="B15" i="1"/>
  <c r="B14" i="1"/>
  <c r="B13" i="1"/>
  <c r="B12" i="1"/>
  <c r="B11" i="1"/>
  <c r="B10" i="1"/>
  <c r="B9" i="1"/>
  <c r="B21" i="1" s="1"/>
  <c r="B49" i="1" l="1"/>
  <c r="B91" i="1"/>
  <c r="B83" i="1"/>
  <c r="B24" i="1"/>
  <c r="B37" i="1"/>
  <c r="B31" i="1"/>
  <c r="B32" i="1" s="1"/>
  <c r="B100" i="1" l="1"/>
  <c r="B101" i="1" s="1"/>
  <c r="B102" i="1" s="1"/>
</calcChain>
</file>

<file path=xl/sharedStrings.xml><?xml version="1.0" encoding="utf-8"?>
<sst xmlns="http://schemas.openxmlformats.org/spreadsheetml/2006/main" count="102" uniqueCount="102">
  <si>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</si>
  <si>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</si>
  <si>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</si>
  <si>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</si>
  <si>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</si>
  <si>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</si>
  <si>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</si>
  <si>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</si>
  <si>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</si>
  <si>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</si>
  <si>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</si>
  <si>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</si>
  <si>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</si>
  <si>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</si>
  <si>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</si>
  <si>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</si>
  <si>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</si>
  <si>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</si>
  <si>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</si>
  <si>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</si>
  <si>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</si>
  <si>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</si>
  <si>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</si>
  <si>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</si>
  <si>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</si>
  <si>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</si>
  <si>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</si>
  <si>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</si>
  <si>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</si>
  <si>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</si>
  <si>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</si>
  <si>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</si>
  <si>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</si>
  <si>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</si>
  <si>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</si>
  <si>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</si>
  <si>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</si>
  <si>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</si>
  <si>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</si>
  <si>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</si>
  <si>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</si>
  <si>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</si>
  <si>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</si>
  <si>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</si>
  <si>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</si>
  <si>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</si>
  <si>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</si>
  <si>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</si>
  <si>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</si>
  <si>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</si>
  <si>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</si>
  <si>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</si>
  <si>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</si>
  <si>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</si>
  <si>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</si>
  <si>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</si>
  <si>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</si>
  <si>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</si>
  <si>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</si>
  <si>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</si>
  <si>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</si>
  <si>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</si>
  <si>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</si>
  <si>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</si>
  <si>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</si>
  <si>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</si>
  <si>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</si>
  <si>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</si>
  <si>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</si>
  <si>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</si>
  <si>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</si>
  <si>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</si>
  <si>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</si>
  <si>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</si>
  <si>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</si>
  <si>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</si>
  <si>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</si>
  <si>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</si>
  <si>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</si>
  <si>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</si>
  <si>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</si>
  <si>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</si>
  <si>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</si>
  <si>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</si>
  <si>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40581 TRAVEL/TRAINING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</si>
  <si>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</si>
  <si>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</si>
  <si>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</si>
  <si>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</si>
  <si>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</si>
  <si>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</si>
  <si>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</si>
  <si>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</si>
  <si>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</si>
  <si>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</si>
  <si>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</si>
  <si>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</si>
  <si>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</si>
  <si>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</si>
  <si>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</si>
  <si>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2022-23 Budget Report - FY23 P&amp;L  Classes</t>
  </si>
  <si>
    <t>July - 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</si>
</sst>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tabSelected="1" workbookViewId="0">
      <selection activeCell="A99" sqref="A99"/>
    </sheetView>
  </sheetViews>
  <sheetFormatPr defaultRowHeight="15" x14ac:dyDescent="0.25"/>
  <cols>
    <col min="1" max="1" width="37.85546875" customWidth="1"/>
    <col min="2" max="3" width="35.28515625" customWidth="1"/>
  </cols>
  <sheetData>
    <row r="1" spans="1:3" ht="18" x14ac:dyDescent="0.25">
      <c r="A1" s="13" t="s">
        <v>99</v>
      </c>
      <c r="B1" s="12"/>
      <c r="C1" s="12"/>
    </row>
    <row r="2" spans="1:3" ht="18" x14ac:dyDescent="0.25">
      <c r="A2" s="13" t="s">
        <v>100</v>
      </c>
      <c r="B2" s="12"/>
      <c r="C2" s="12"/>
    </row>
    <row r="3" spans="1:3" x14ac:dyDescent="0.25">
      <c r="A3" s="14" t="s">
        <v>101</v>
      </c>
      <c r="B3" s="12"/>
      <c r="C3" s="12"/>
    </row>
    <row r="5" spans="1:3" x14ac:dyDescent="0.25">
      <c r="A5" s="1"/>
      <c r="B5" s="9" t="s">
        <v>0</v>
      </c>
      <c r="C5" s="10"/>
    </row>
    <row r="6" spans="1:3" x14ac:dyDescent="0.25">
      <c r="A6" s="1"/>
      <c r="B6" s="2" t="s">
        <v>1</v>
      </c>
      <c r="C6" s="8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5">
        <f>5296</f>
        <v>5296</v>
      </c>
    </row>
    <row r="9" spans="1:3" x14ac:dyDescent="0.25">
      <c r="A9" s="3" t="s">
        <v>5</v>
      </c>
      <c r="B9" s="5">
        <f>5500</f>
        <v>5500</v>
      </c>
      <c r="C9" s="4"/>
    </row>
    <row r="10" spans="1:3" x14ac:dyDescent="0.25">
      <c r="A10" s="3" t="s">
        <v>6</v>
      </c>
      <c r="B10" s="5">
        <f>248526.97</f>
        <v>248526.97</v>
      </c>
      <c r="C10" s="5">
        <f>287500</f>
        <v>287500</v>
      </c>
    </row>
    <row r="11" spans="1:3" x14ac:dyDescent="0.25">
      <c r="A11" s="3" t="s">
        <v>7</v>
      </c>
      <c r="B11" s="5">
        <f>27191.47</f>
        <v>27191.47</v>
      </c>
      <c r="C11" s="5">
        <f>300</f>
        <v>300</v>
      </c>
    </row>
    <row r="12" spans="1:3" x14ac:dyDescent="0.25">
      <c r="A12" s="3" t="s">
        <v>8</v>
      </c>
      <c r="B12" s="5">
        <f>24375</f>
        <v>24375</v>
      </c>
      <c r="C12" s="5">
        <f>58000</f>
        <v>58000</v>
      </c>
    </row>
    <row r="13" spans="1:3" x14ac:dyDescent="0.25">
      <c r="A13" s="3" t="s">
        <v>9</v>
      </c>
      <c r="B13" s="5">
        <f>851426.71</f>
        <v>851426.71</v>
      </c>
      <c r="C13" s="5">
        <f>529700.96</f>
        <v>529700.96</v>
      </c>
    </row>
    <row r="14" spans="1:3" x14ac:dyDescent="0.25">
      <c r="A14" s="3" t="s">
        <v>10</v>
      </c>
      <c r="B14" s="5">
        <f>750</f>
        <v>750</v>
      </c>
      <c r="C14" s="4"/>
    </row>
    <row r="15" spans="1:3" x14ac:dyDescent="0.25">
      <c r="A15" s="3" t="s">
        <v>11</v>
      </c>
      <c r="B15" s="5">
        <f>10938.55</f>
        <v>10938.55</v>
      </c>
      <c r="C15" s="4"/>
    </row>
    <row r="16" spans="1:3" x14ac:dyDescent="0.25">
      <c r="A16" s="3" t="s">
        <v>12</v>
      </c>
      <c r="B16" s="5">
        <f>29092.25</f>
        <v>29092.25</v>
      </c>
      <c r="C16" s="5">
        <f>70000</f>
        <v>70000</v>
      </c>
    </row>
    <row r="17" spans="1:3" x14ac:dyDescent="0.25">
      <c r="A17" s="3" t="s">
        <v>13</v>
      </c>
      <c r="B17" s="5">
        <f>372811.18</f>
        <v>372811.18</v>
      </c>
      <c r="C17" s="5">
        <f>737393</f>
        <v>737393</v>
      </c>
    </row>
    <row r="18" spans="1:3" x14ac:dyDescent="0.25">
      <c r="A18" s="3" t="s">
        <v>14</v>
      </c>
      <c r="B18" s="5">
        <f>54700</f>
        <v>54700</v>
      </c>
      <c r="C18" s="5">
        <f>61700</f>
        <v>61700</v>
      </c>
    </row>
    <row r="19" spans="1:3" x14ac:dyDescent="0.25">
      <c r="A19" s="3" t="s">
        <v>15</v>
      </c>
      <c r="B19" s="5">
        <f>2065.04</f>
        <v>2065.04</v>
      </c>
      <c r="C19" s="5">
        <f>750</f>
        <v>750</v>
      </c>
    </row>
    <row r="20" spans="1:3" x14ac:dyDescent="0.25">
      <c r="A20" s="3" t="s">
        <v>16</v>
      </c>
      <c r="B20" s="5">
        <f>97757.98</f>
        <v>97757.98</v>
      </c>
      <c r="C20" s="5">
        <f>194830</f>
        <v>194830</v>
      </c>
    </row>
    <row r="21" spans="1:3" x14ac:dyDescent="0.25">
      <c r="A21" s="3" t="s">
        <v>17</v>
      </c>
      <c r="B21" s="6">
        <f>(((((((((((B9)+(B10))+(B11))+(B12))+(B13))+(B14))+(B15))+(B16))+(B17))+(B18))+(B19))+(B20)</f>
        <v>1725135.15</v>
      </c>
      <c r="C21" s="7">
        <f>(((((((((((C9)+(C10))+(C11))+(C12))+(C13))+(C14))+(C15))+(C16))+(C17))+(C18))+(C19))+(C20)</f>
        <v>1940173.96</v>
      </c>
    </row>
    <row r="22" spans="1:3" x14ac:dyDescent="0.25">
      <c r="A22" s="3" t="s">
        <v>18</v>
      </c>
      <c r="B22" s="5">
        <f>1800525.18</f>
        <v>1800525.18</v>
      </c>
      <c r="C22" s="5">
        <f>1636611</f>
        <v>1636611</v>
      </c>
    </row>
    <row r="23" spans="1:3" x14ac:dyDescent="0.25">
      <c r="A23" s="3" t="s">
        <v>19</v>
      </c>
      <c r="B23" s="5">
        <f>27093.14</f>
        <v>27093.14</v>
      </c>
      <c r="C23" s="4"/>
    </row>
    <row r="24" spans="1:3" x14ac:dyDescent="0.25">
      <c r="A24" s="3" t="s">
        <v>20</v>
      </c>
      <c r="B24" s="6">
        <f>(B22)+(B23)</f>
        <v>1827618.3199999998</v>
      </c>
      <c r="C24" s="7">
        <f>(C22)+(C23)</f>
        <v>1636611</v>
      </c>
    </row>
    <row r="25" spans="1:3" x14ac:dyDescent="0.25">
      <c r="A25" s="3" t="s">
        <v>21</v>
      </c>
      <c r="B25" s="5">
        <f>52920</f>
        <v>52920</v>
      </c>
      <c r="C25" s="4"/>
    </row>
    <row r="26" spans="1:3" x14ac:dyDescent="0.25">
      <c r="A26" s="3" t="s">
        <v>22</v>
      </c>
      <c r="B26" s="5">
        <f>22506.93</f>
        <v>22506.93</v>
      </c>
      <c r="C26" s="4"/>
    </row>
    <row r="27" spans="1:3" x14ac:dyDescent="0.25">
      <c r="A27" s="3" t="s">
        <v>23</v>
      </c>
      <c r="B27" s="5">
        <f>-133705</f>
        <v>-133705</v>
      </c>
      <c r="C27" s="4"/>
    </row>
    <row r="28" spans="1:3" x14ac:dyDescent="0.25">
      <c r="A28" s="3" t="s">
        <v>24</v>
      </c>
      <c r="B28" s="5">
        <f>848218.73</f>
        <v>848218.73</v>
      </c>
      <c r="C28" s="5">
        <f>1873137.85</f>
        <v>1873137.85</v>
      </c>
    </row>
    <row r="29" spans="1:3" x14ac:dyDescent="0.25">
      <c r="A29" s="3" t="s">
        <v>25</v>
      </c>
      <c r="B29" s="5">
        <f>2019995.32</f>
        <v>2019995.32</v>
      </c>
      <c r="C29" s="5">
        <f>6109274</f>
        <v>6109274</v>
      </c>
    </row>
    <row r="30" spans="1:3" x14ac:dyDescent="0.25">
      <c r="A30" s="3" t="s">
        <v>26</v>
      </c>
      <c r="B30" s="6">
        <f>((B27)+(B28))+(B29)</f>
        <v>2734509.05</v>
      </c>
      <c r="C30" s="7">
        <f>((C27)+(C28))+(C29)</f>
        <v>7982411.8499999996</v>
      </c>
    </row>
    <row r="31" spans="1:3" x14ac:dyDescent="0.25">
      <c r="A31" s="3" t="s">
        <v>27</v>
      </c>
      <c r="B31" s="6">
        <f>(((((B8)+(B21))+(B24))+(B25))+(B26))+(B30)</f>
        <v>6362689.4499999993</v>
      </c>
      <c r="C31" s="7">
        <f>(((((C8)+(C21))+(C24))+(C25))+(C26))+(C30)</f>
        <v>11564492.809999999</v>
      </c>
    </row>
    <row r="32" spans="1:3" x14ac:dyDescent="0.25">
      <c r="A32" s="3" t="s">
        <v>28</v>
      </c>
      <c r="B32" s="6">
        <f>(B31)-(0)</f>
        <v>6362689.4499999993</v>
      </c>
      <c r="C32" s="7">
        <f>(C31)-(0)</f>
        <v>11564492.809999999</v>
      </c>
    </row>
    <row r="33" spans="1:3" x14ac:dyDescent="0.25">
      <c r="A33" s="3" t="s">
        <v>29</v>
      </c>
      <c r="B33" s="4"/>
      <c r="C33" s="4"/>
    </row>
    <row r="34" spans="1:3" x14ac:dyDescent="0.25">
      <c r="A34" s="3" t="s">
        <v>30</v>
      </c>
      <c r="B34" s="4"/>
      <c r="C34" s="5">
        <f>9220</f>
        <v>9220</v>
      </c>
    </row>
    <row r="35" spans="1:3" x14ac:dyDescent="0.25">
      <c r="A35" s="3" t="s">
        <v>31</v>
      </c>
      <c r="B35" s="5">
        <f>1899717.76</f>
        <v>1899717.76</v>
      </c>
      <c r="C35" s="5">
        <f>4000458.92</f>
        <v>4000458.92</v>
      </c>
    </row>
    <row r="36" spans="1:3" x14ac:dyDescent="0.25">
      <c r="A36" s="3" t="s">
        <v>32</v>
      </c>
      <c r="B36" s="5">
        <f>612240.57</f>
        <v>612240.56999999995</v>
      </c>
      <c r="C36" s="5">
        <f>1375264.48</f>
        <v>1375264.48</v>
      </c>
    </row>
    <row r="37" spans="1:3" x14ac:dyDescent="0.25">
      <c r="A37" s="3" t="s">
        <v>33</v>
      </c>
      <c r="B37" s="6">
        <f>((B34)+(B35))+(B36)</f>
        <v>2511958.33</v>
      </c>
      <c r="C37" s="7">
        <f>((C34)+(C35))+(C36)</f>
        <v>5384943.4000000004</v>
      </c>
    </row>
    <row r="38" spans="1:3" x14ac:dyDescent="0.25">
      <c r="A38" s="3" t="s">
        <v>34</v>
      </c>
      <c r="B38" s="5">
        <f>0</f>
        <v>0</v>
      </c>
      <c r="C38" s="4"/>
    </row>
    <row r="39" spans="1:3" x14ac:dyDescent="0.25">
      <c r="A39" s="3" t="s">
        <v>35</v>
      </c>
      <c r="B39" s="5">
        <f>123.26</f>
        <v>123.26</v>
      </c>
      <c r="C39" s="5">
        <f>465</f>
        <v>465</v>
      </c>
    </row>
    <row r="40" spans="1:3" x14ac:dyDescent="0.25">
      <c r="A40" s="3" t="s">
        <v>36</v>
      </c>
      <c r="B40" s="5">
        <f>35874.04</f>
        <v>35874.04</v>
      </c>
      <c r="C40" s="5">
        <f>84786.41</f>
        <v>84786.41</v>
      </c>
    </row>
    <row r="41" spans="1:3" x14ac:dyDescent="0.25">
      <c r="A41" s="3" t="s">
        <v>37</v>
      </c>
      <c r="B41" s="5">
        <f>34002.92</f>
        <v>34002.92</v>
      </c>
      <c r="C41" s="5">
        <f>75008.67</f>
        <v>75008.67</v>
      </c>
    </row>
    <row r="42" spans="1:3" x14ac:dyDescent="0.25">
      <c r="A42" s="3" t="s">
        <v>38</v>
      </c>
      <c r="B42" s="5">
        <f>177008.58</f>
        <v>177008.58</v>
      </c>
      <c r="C42" s="5">
        <f>402366.52</f>
        <v>402366.52</v>
      </c>
    </row>
    <row r="43" spans="1:3" x14ac:dyDescent="0.25">
      <c r="A43" s="3" t="s">
        <v>39</v>
      </c>
      <c r="B43" s="5">
        <f>148445.73</f>
        <v>148445.73000000001</v>
      </c>
      <c r="C43" s="5">
        <f>349452.76</f>
        <v>349452.76</v>
      </c>
    </row>
    <row r="44" spans="1:3" x14ac:dyDescent="0.25">
      <c r="A44" s="3" t="s">
        <v>40</v>
      </c>
      <c r="B44" s="5">
        <f>96472.46</f>
        <v>96472.46</v>
      </c>
      <c r="C44" s="5">
        <f>261559</f>
        <v>261559</v>
      </c>
    </row>
    <row r="45" spans="1:3" x14ac:dyDescent="0.25">
      <c r="A45" s="3" t="s">
        <v>41</v>
      </c>
      <c r="B45" s="5">
        <f>1318.07</f>
        <v>1318.07</v>
      </c>
      <c r="C45" s="5">
        <f>5636</f>
        <v>5636</v>
      </c>
    </row>
    <row r="46" spans="1:3" x14ac:dyDescent="0.25">
      <c r="A46" s="3" t="s">
        <v>42</v>
      </c>
      <c r="B46" s="5">
        <f>4841.25</f>
        <v>4841.25</v>
      </c>
      <c r="C46" s="5">
        <f>12421.19</f>
        <v>12421.19</v>
      </c>
    </row>
    <row r="47" spans="1:3" x14ac:dyDescent="0.25">
      <c r="A47" s="3" t="s">
        <v>43</v>
      </c>
      <c r="B47" s="5">
        <f>22506.93</f>
        <v>22506.93</v>
      </c>
      <c r="C47" s="5">
        <f>56197.24</f>
        <v>56197.24</v>
      </c>
    </row>
    <row r="48" spans="1:3" x14ac:dyDescent="0.25">
      <c r="A48" s="3" t="s">
        <v>44</v>
      </c>
      <c r="B48" s="5">
        <f>986.08</f>
        <v>986.08</v>
      </c>
      <c r="C48" s="5">
        <f>13635</f>
        <v>13635</v>
      </c>
    </row>
    <row r="49" spans="1:3" x14ac:dyDescent="0.25">
      <c r="A49" s="3" t="s">
        <v>45</v>
      </c>
      <c r="B49" s="6">
        <f>((((((((((B38)+(B39))+(B40))+(B41))+(B42))+(B43))+(B44))+(B45))+(B46))+(B47))+(B48)</f>
        <v>521579.32000000007</v>
      </c>
      <c r="C49" s="7">
        <f>((((((((((C38)+(C39))+(C40))+(C41))+(C42))+(C43))+(C44))+(C45))+(C46))+(C47))+(C48)</f>
        <v>1261527.79</v>
      </c>
    </row>
    <row r="50" spans="1:3" x14ac:dyDescent="0.25">
      <c r="A50" s="3" t="s">
        <v>46</v>
      </c>
      <c r="B50" s="4"/>
      <c r="C50" s="4"/>
    </row>
    <row r="51" spans="1:3" x14ac:dyDescent="0.25">
      <c r="A51" s="3" t="s">
        <v>47</v>
      </c>
      <c r="B51" s="5">
        <f>136490.17</f>
        <v>136490.17000000001</v>
      </c>
      <c r="C51" s="5">
        <f>211680</f>
        <v>211680</v>
      </c>
    </row>
    <row r="52" spans="1:3" x14ac:dyDescent="0.25">
      <c r="A52" s="3" t="s">
        <v>48</v>
      </c>
      <c r="B52" s="5">
        <f>17600</f>
        <v>17600</v>
      </c>
      <c r="C52" s="5">
        <f>22000</f>
        <v>22000</v>
      </c>
    </row>
    <row r="53" spans="1:3" x14ac:dyDescent="0.25">
      <c r="A53" s="3" t="s">
        <v>49</v>
      </c>
      <c r="B53" s="5">
        <f>7621.27</f>
        <v>7621.27</v>
      </c>
      <c r="C53" s="5">
        <f>15000</f>
        <v>15000</v>
      </c>
    </row>
    <row r="54" spans="1:3" x14ac:dyDescent="0.25">
      <c r="A54" s="3" t="s">
        <v>50</v>
      </c>
      <c r="B54" s="5">
        <f>12318.6</f>
        <v>12318.6</v>
      </c>
      <c r="C54" s="5">
        <f>80140</f>
        <v>80140</v>
      </c>
    </row>
    <row r="55" spans="1:3" x14ac:dyDescent="0.25">
      <c r="A55" s="3" t="s">
        <v>51</v>
      </c>
      <c r="B55" s="6">
        <f>((((B50)+(B51))+(B52))+(B53))+(B54)</f>
        <v>174030.04</v>
      </c>
      <c r="C55" s="7">
        <f>((((C50)+(C51))+(C52))+(C53))+(C54)</f>
        <v>328820</v>
      </c>
    </row>
    <row r="56" spans="1:3" x14ac:dyDescent="0.25">
      <c r="A56" s="3" t="s">
        <v>52</v>
      </c>
      <c r="B56" s="5">
        <f>119380.67</f>
        <v>119380.67</v>
      </c>
      <c r="C56" s="5">
        <f>833922</f>
        <v>833922</v>
      </c>
    </row>
    <row r="57" spans="1:3" x14ac:dyDescent="0.25">
      <c r="A57" s="3" t="s">
        <v>53</v>
      </c>
      <c r="B57" s="4"/>
      <c r="C57" s="4"/>
    </row>
    <row r="58" spans="1:3" x14ac:dyDescent="0.25">
      <c r="A58" s="3" t="s">
        <v>54</v>
      </c>
      <c r="B58" s="5">
        <f>1569.2</f>
        <v>1569.2</v>
      </c>
      <c r="C58" s="4"/>
    </row>
    <row r="59" spans="1:3" x14ac:dyDescent="0.25">
      <c r="A59" s="3" t="s">
        <v>55</v>
      </c>
      <c r="B59" s="5">
        <f>5480</f>
        <v>5480</v>
      </c>
      <c r="C59" s="5">
        <f>12000</f>
        <v>12000</v>
      </c>
    </row>
    <row r="60" spans="1:3" x14ac:dyDescent="0.25">
      <c r="A60" s="3" t="s">
        <v>56</v>
      </c>
      <c r="B60" s="5">
        <f>4883.66</f>
        <v>4883.66</v>
      </c>
      <c r="C60" s="5">
        <f>5600</f>
        <v>5600</v>
      </c>
    </row>
    <row r="61" spans="1:3" x14ac:dyDescent="0.25">
      <c r="A61" s="3" t="s">
        <v>57</v>
      </c>
      <c r="B61" s="5">
        <f>268179.83</f>
        <v>268179.83</v>
      </c>
      <c r="C61" s="5">
        <f>116312</f>
        <v>116312</v>
      </c>
    </row>
    <row r="62" spans="1:3" x14ac:dyDescent="0.25">
      <c r="A62" s="3" t="s">
        <v>58</v>
      </c>
      <c r="B62" s="5">
        <f>54700</f>
        <v>54700</v>
      </c>
      <c r="C62" s="5">
        <f>65200</f>
        <v>65200</v>
      </c>
    </row>
    <row r="63" spans="1:3" x14ac:dyDescent="0.25">
      <c r="A63" s="3" t="s">
        <v>59</v>
      </c>
      <c r="B63" s="5">
        <f>18807.41</f>
        <v>18807.41</v>
      </c>
      <c r="C63" s="5">
        <f>41000</f>
        <v>41000</v>
      </c>
    </row>
    <row r="64" spans="1:3" x14ac:dyDescent="0.25">
      <c r="A64" s="3" t="s">
        <v>60</v>
      </c>
      <c r="B64" s="5">
        <f>10292.08</f>
        <v>10292.08</v>
      </c>
      <c r="C64" s="5">
        <f>25940</f>
        <v>25940</v>
      </c>
    </row>
    <row r="65" spans="1:3" x14ac:dyDescent="0.25">
      <c r="A65" s="3" t="s">
        <v>61</v>
      </c>
      <c r="B65" s="5">
        <f>6874.71</f>
        <v>6874.71</v>
      </c>
      <c r="C65" s="5">
        <f>87359</f>
        <v>87359</v>
      </c>
    </row>
    <row r="66" spans="1:3" x14ac:dyDescent="0.25">
      <c r="A66" s="3" t="s">
        <v>62</v>
      </c>
      <c r="B66" s="5">
        <f>15997.88</f>
        <v>15997.88</v>
      </c>
      <c r="C66" s="5">
        <f>49000</f>
        <v>49000</v>
      </c>
    </row>
    <row r="67" spans="1:3" x14ac:dyDescent="0.25">
      <c r="A67" s="3" t="s">
        <v>63</v>
      </c>
      <c r="B67" s="5">
        <f>15676.4</f>
        <v>15676.4</v>
      </c>
      <c r="C67" s="4"/>
    </row>
    <row r="68" spans="1:3" x14ac:dyDescent="0.25">
      <c r="A68" s="3" t="s">
        <v>64</v>
      </c>
      <c r="B68" s="6">
        <f>((((((((((B57)+(B58))+(B59))+(B60))+(B61))+(B62))+(B63))+(B64))+(B65))+(B66))+(B67)</f>
        <v>402461.17000000004</v>
      </c>
      <c r="C68" s="7">
        <f>((((((((((C57)+(C58))+(C59))+(C60))+(C61))+(C62))+(C63))+(C64))+(C65))+(C66))+(C67)</f>
        <v>402411</v>
      </c>
    </row>
    <row r="69" spans="1:3" x14ac:dyDescent="0.25">
      <c r="A69" s="3" t="s">
        <v>65</v>
      </c>
      <c r="B69" s="4"/>
      <c r="C69" s="4"/>
    </row>
    <row r="70" spans="1:3" x14ac:dyDescent="0.25">
      <c r="A70" s="3" t="s">
        <v>66</v>
      </c>
      <c r="B70" s="5">
        <f>28528.5</f>
        <v>28528.5</v>
      </c>
      <c r="C70" s="5">
        <f>36200</f>
        <v>36200</v>
      </c>
    </row>
    <row r="71" spans="1:3" x14ac:dyDescent="0.25">
      <c r="A71" s="3" t="s">
        <v>67</v>
      </c>
      <c r="B71" s="5">
        <f>27838.5</f>
        <v>27838.5</v>
      </c>
      <c r="C71" s="5">
        <f>12300</f>
        <v>12300</v>
      </c>
    </row>
    <row r="72" spans="1:3" x14ac:dyDescent="0.25">
      <c r="A72" s="3" t="s">
        <v>68</v>
      </c>
      <c r="B72" s="4"/>
      <c r="C72" s="5">
        <f>725</f>
        <v>725</v>
      </c>
    </row>
    <row r="73" spans="1:3" x14ac:dyDescent="0.25">
      <c r="A73" s="3" t="s">
        <v>69</v>
      </c>
      <c r="B73" s="6">
        <f>(((B69)+(B70))+(B71))+(B72)</f>
        <v>56367</v>
      </c>
      <c r="C73" s="7">
        <f>(((C69)+(C70))+(C71))+(C72)</f>
        <v>49225</v>
      </c>
    </row>
    <row r="74" spans="1:3" x14ac:dyDescent="0.25">
      <c r="A74" s="3" t="s">
        <v>70</v>
      </c>
      <c r="B74" s="4"/>
      <c r="C74" s="4"/>
    </row>
    <row r="75" spans="1:3" x14ac:dyDescent="0.25">
      <c r="A75" s="3" t="s">
        <v>71</v>
      </c>
      <c r="B75" s="5">
        <f>722.68</f>
        <v>722.68</v>
      </c>
      <c r="C75" s="5">
        <f>1335</f>
        <v>1335</v>
      </c>
    </row>
    <row r="76" spans="1:3" x14ac:dyDescent="0.25">
      <c r="A76" s="3" t="s">
        <v>72</v>
      </c>
      <c r="B76" s="5">
        <f>268.65</f>
        <v>268.64999999999998</v>
      </c>
      <c r="C76" s="5">
        <f>1700</f>
        <v>1700</v>
      </c>
    </row>
    <row r="77" spans="1:3" x14ac:dyDescent="0.25">
      <c r="A77" s="3" t="s">
        <v>73</v>
      </c>
      <c r="B77" s="5">
        <f>18560.58</f>
        <v>18560.580000000002</v>
      </c>
      <c r="C77" s="5">
        <f>48594</f>
        <v>48594</v>
      </c>
    </row>
    <row r="78" spans="1:3" x14ac:dyDescent="0.25">
      <c r="A78" s="3" t="s">
        <v>74</v>
      </c>
      <c r="B78" s="4"/>
      <c r="C78" s="5">
        <f>500</f>
        <v>500</v>
      </c>
    </row>
    <row r="79" spans="1:3" x14ac:dyDescent="0.25">
      <c r="A79" s="3" t="s">
        <v>75</v>
      </c>
      <c r="B79" s="5">
        <f>5244.05</f>
        <v>5244.05</v>
      </c>
      <c r="C79" s="5">
        <f>11500</f>
        <v>11500</v>
      </c>
    </row>
    <row r="80" spans="1:3" x14ac:dyDescent="0.25">
      <c r="A80" s="3" t="s">
        <v>76</v>
      </c>
      <c r="B80" s="5">
        <f>11104.5</f>
        <v>11104.5</v>
      </c>
      <c r="C80" s="5">
        <f>33800</f>
        <v>33800</v>
      </c>
    </row>
    <row r="81" spans="1:3" x14ac:dyDescent="0.25">
      <c r="A81" s="3" t="s">
        <v>77</v>
      </c>
      <c r="B81" s="5">
        <f>482280.12</f>
        <v>482280.12</v>
      </c>
      <c r="C81" s="5">
        <f>911530</f>
        <v>911530</v>
      </c>
    </row>
    <row r="82" spans="1:3" x14ac:dyDescent="0.25">
      <c r="A82" s="3" t="s">
        <v>78</v>
      </c>
      <c r="B82" s="5">
        <f>3902.57</f>
        <v>3902.57</v>
      </c>
      <c r="C82" s="5">
        <f>6000</f>
        <v>6000</v>
      </c>
    </row>
    <row r="83" spans="1:3" x14ac:dyDescent="0.25">
      <c r="A83" s="3" t="s">
        <v>79</v>
      </c>
      <c r="B83" s="6">
        <f>((((((((B74)+(B75))+(B76))+(B77))+(B78))+(B79))+(B80))+(B81))+(B82)</f>
        <v>522083.15</v>
      </c>
      <c r="C83" s="7">
        <f>((((((((C74)+(C75))+(C76))+(C77))+(C78))+(C79))+(C80))+(C81))+(C82)</f>
        <v>1014959</v>
      </c>
    </row>
    <row r="84" spans="1:3" x14ac:dyDescent="0.25">
      <c r="A84" s="3" t="s">
        <v>80</v>
      </c>
      <c r="B84" s="4"/>
      <c r="C84" s="4"/>
    </row>
    <row r="85" spans="1:3" x14ac:dyDescent="0.25">
      <c r="A85" s="3" t="s">
        <v>81</v>
      </c>
      <c r="B85" s="5">
        <f>128279.89</f>
        <v>128279.89</v>
      </c>
      <c r="C85" s="5">
        <f>666545</f>
        <v>666545</v>
      </c>
    </row>
    <row r="86" spans="1:3" x14ac:dyDescent="0.25">
      <c r="A86" s="3" t="s">
        <v>82</v>
      </c>
      <c r="B86" s="5">
        <f>73484.12</f>
        <v>73484.12</v>
      </c>
      <c r="C86" s="5">
        <f>143440</f>
        <v>143440</v>
      </c>
    </row>
    <row r="87" spans="1:3" x14ac:dyDescent="0.25">
      <c r="A87" s="3" t="s">
        <v>83</v>
      </c>
      <c r="B87" s="5">
        <f>224918.32</f>
        <v>224918.32</v>
      </c>
      <c r="C87" s="5">
        <f>295903</f>
        <v>295903</v>
      </c>
    </row>
    <row r="88" spans="1:3" x14ac:dyDescent="0.25">
      <c r="A88" s="3" t="s">
        <v>84</v>
      </c>
      <c r="B88" s="4"/>
      <c r="C88" s="5">
        <f>55681.8</f>
        <v>55681.8</v>
      </c>
    </row>
    <row r="89" spans="1:3" x14ac:dyDescent="0.25">
      <c r="A89" s="3" t="s">
        <v>85</v>
      </c>
      <c r="B89" s="5">
        <f>27467.94</f>
        <v>27467.94</v>
      </c>
      <c r="C89" s="5">
        <f>26089</f>
        <v>26089</v>
      </c>
    </row>
    <row r="90" spans="1:3" x14ac:dyDescent="0.25">
      <c r="A90" s="3" t="s">
        <v>86</v>
      </c>
      <c r="B90" s="5">
        <f>5666.71</f>
        <v>5666.71</v>
      </c>
      <c r="C90" s="5">
        <f>13200</f>
        <v>13200</v>
      </c>
    </row>
    <row r="91" spans="1:3" x14ac:dyDescent="0.25">
      <c r="A91" s="3" t="s">
        <v>87</v>
      </c>
      <c r="B91" s="6">
        <f>((((((B84)+(B85))+(B86))+(B87))+(B88))+(B89))+(B90)</f>
        <v>459816.98000000004</v>
      </c>
      <c r="C91" s="7">
        <f>((((((C84)+(C85))+(C86))+(C87))+(C88))+(C89))+(C90)</f>
        <v>1200858.8</v>
      </c>
    </row>
    <row r="92" spans="1:3" x14ac:dyDescent="0.25">
      <c r="A92" s="3" t="s">
        <v>88</v>
      </c>
      <c r="B92" s="4"/>
      <c r="C92" s="5">
        <f>66150</f>
        <v>66150</v>
      </c>
    </row>
    <row r="93" spans="1:3" x14ac:dyDescent="0.25">
      <c r="A93" s="3" t="s">
        <v>89</v>
      </c>
      <c r="B93" s="4"/>
      <c r="C93" s="4"/>
    </row>
    <row r="94" spans="1:3" x14ac:dyDescent="0.25">
      <c r="A94" s="3" t="s">
        <v>90</v>
      </c>
      <c r="B94" s="5">
        <f>9926.55</f>
        <v>9926.5499999999993</v>
      </c>
      <c r="C94" s="5">
        <f>12210</f>
        <v>12210</v>
      </c>
    </row>
    <row r="95" spans="1:3" x14ac:dyDescent="0.25">
      <c r="A95" s="3" t="s">
        <v>91</v>
      </c>
      <c r="B95" s="5">
        <f>7500</f>
        <v>7500</v>
      </c>
      <c r="C95" s="5">
        <f>30000</f>
        <v>30000</v>
      </c>
    </row>
    <row r="96" spans="1:3" x14ac:dyDescent="0.25">
      <c r="A96" s="3" t="s">
        <v>92</v>
      </c>
      <c r="B96" s="5">
        <f>1500</f>
        <v>1500</v>
      </c>
      <c r="C96" s="4"/>
    </row>
    <row r="97" spans="1:3" x14ac:dyDescent="0.25">
      <c r="A97" s="3" t="s">
        <v>93</v>
      </c>
      <c r="B97" s="5">
        <f>387110.96</f>
        <v>387110.96</v>
      </c>
      <c r="C97" s="5">
        <f>852722.54</f>
        <v>852722.54</v>
      </c>
    </row>
    <row r="98" spans="1:3" x14ac:dyDescent="0.25">
      <c r="A98" s="3" t="s">
        <v>94</v>
      </c>
      <c r="B98" s="6">
        <f>((((B93)+(B94))+(B95))+(B96))+(B97)</f>
        <v>406037.51</v>
      </c>
      <c r="C98" s="7">
        <f>((((C93)+(C94))+(C95))+(C96))+(C97)</f>
        <v>894932.54</v>
      </c>
    </row>
    <row r="99" spans="1:3" x14ac:dyDescent="0.25">
      <c r="A99" s="3" t="s">
        <v>95</v>
      </c>
      <c r="B99" s="4"/>
      <c r="C99" s="5">
        <f>126743.28</f>
        <v>126743.28</v>
      </c>
    </row>
    <row r="100" spans="1:3" x14ac:dyDescent="0.25">
      <c r="A100" s="3" t="s">
        <v>96</v>
      </c>
      <c r="B100" s="6">
        <f>((((((((((B37)+(B49))+(B55))+(B56))+(B68))+(B73))+(B83))+(B91))+(B92))+(B98))+(B99)</f>
        <v>5173714.1700000009</v>
      </c>
      <c r="C100" s="7">
        <f>((((((((((C37)+(C49))+(C55))+(C56))+(C68))+(C73))+(C83))+(C91))+(C92))+(C98))+(C99)</f>
        <v>11564492.810000001</v>
      </c>
    </row>
    <row r="101" spans="1:3" x14ac:dyDescent="0.25">
      <c r="A101" s="3" t="s">
        <v>97</v>
      </c>
      <c r="B101" s="6">
        <f>(B32)-(B100)</f>
        <v>1188975.2799999984</v>
      </c>
      <c r="C101" s="7">
        <f>(C32)-(C100)</f>
        <v>0</v>
      </c>
    </row>
    <row r="102" spans="1:3" x14ac:dyDescent="0.25">
      <c r="A102" s="3" t="s">
        <v>98</v>
      </c>
      <c r="B102" s="7">
        <f>(B101)+(0)</f>
        <v>1188975.2799999984</v>
      </c>
      <c r="C102" s="7">
        <f>(C101)+(0)</f>
        <v>0</v>
      </c>
    </row>
    <row r="103" spans="1:3" x14ac:dyDescent="0.25">
      <c r="A103" s="3"/>
      <c r="B103" s="4"/>
      <c r="C103" s="4"/>
    </row>
    <row r="106" spans="1:3" x14ac:dyDescent="0.25">
      <c r="A106" s="11"/>
      <c r="B106" s="12"/>
      <c r="C106" s="12"/>
    </row>
  </sheetData>
  <mergeCells count="5">
    <mergeCell ref="B5:C5"/>
    <mergeCell ref="A106:C106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dcterms:created xsi:type="dcterms:W3CDTF">2023-01-06T17:47:47Z</dcterms:created>
  <dcterms:modified xsi:type="dcterms:W3CDTF">2023-01-30T13:41:09Z</dcterms:modified>
</cp:coreProperties>
</file>