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7C31608A-DCA6-4538-A3B9-2922F854B289}" xr6:coauthVersionLast="47" xr6:coauthVersionMax="47" xr10:uidLastSave="{00000000-0000-0000-0000-000000000000}"/>
  <bookViews>
    <workbookView xWindow="8025" yWindow="885" windowWidth="13725" windowHeight="13365" xr2:uid="{00000000-000D-0000-FFFF-FFFF00000000}"/>
  </bookViews>
  <sheets>
    <sheet name="Profit and Loss by Cl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2" i="1" l="1"/>
  <c r="X92" i="1"/>
  <c r="P92" i="1"/>
  <c r="M92" i="1"/>
  <c r="H92" i="1"/>
  <c r="C92" i="1"/>
  <c r="AB91" i="1"/>
  <c r="AB92" i="1" s="1"/>
  <c r="AA91" i="1"/>
  <c r="AA92" i="1" s="1"/>
  <c r="Z91" i="1"/>
  <c r="Z92" i="1" s="1"/>
  <c r="Y91" i="1"/>
  <c r="X91" i="1"/>
  <c r="W91" i="1"/>
  <c r="V91" i="1"/>
  <c r="U91" i="1"/>
  <c r="U92" i="1" s="1"/>
  <c r="T91" i="1"/>
  <c r="T92" i="1" s="1"/>
  <c r="S91" i="1"/>
  <c r="S92" i="1" s="1"/>
  <c r="R91" i="1"/>
  <c r="R92" i="1" s="1"/>
  <c r="Q91" i="1"/>
  <c r="Q92" i="1" s="1"/>
  <c r="P91" i="1"/>
  <c r="O91" i="1"/>
  <c r="O92" i="1" s="1"/>
  <c r="N91" i="1"/>
  <c r="N92" i="1" s="1"/>
  <c r="L91" i="1"/>
  <c r="L92" i="1" s="1"/>
  <c r="K91" i="1"/>
  <c r="K92" i="1" s="1"/>
  <c r="J91" i="1"/>
  <c r="J92" i="1" s="1"/>
  <c r="I91" i="1"/>
  <c r="I92" i="1" s="1"/>
  <c r="H91" i="1"/>
  <c r="G91" i="1"/>
  <c r="G92" i="1" s="1"/>
  <c r="F91" i="1"/>
  <c r="E91" i="1"/>
  <c r="E92" i="1" s="1"/>
  <c r="D91" i="1"/>
  <c r="D92" i="1" s="1"/>
  <c r="F90" i="1"/>
  <c r="AD90" i="1" s="1"/>
  <c r="AD89" i="1"/>
  <c r="Y89" i="1"/>
  <c r="Y92" i="1" s="1"/>
  <c r="W89" i="1"/>
  <c r="V89" i="1"/>
  <c r="V92" i="1" s="1"/>
  <c r="F89" i="1"/>
  <c r="F92" i="1" s="1"/>
  <c r="B89" i="1"/>
  <c r="B92" i="1" s="1"/>
  <c r="AD88" i="1"/>
  <c r="AA87" i="1"/>
  <c r="U87" i="1"/>
  <c r="S87" i="1"/>
  <c r="O87" i="1"/>
  <c r="M87" i="1"/>
  <c r="L87" i="1"/>
  <c r="J87" i="1"/>
  <c r="I87" i="1"/>
  <c r="G87" i="1"/>
  <c r="E87" i="1"/>
  <c r="C87" i="1"/>
  <c r="B86" i="1"/>
  <c r="AD86" i="1" s="1"/>
  <c r="Z85" i="1"/>
  <c r="Z87" i="1" s="1"/>
  <c r="Y85" i="1"/>
  <c r="W85" i="1"/>
  <c r="V85" i="1"/>
  <c r="R85" i="1"/>
  <c r="M85" i="1"/>
  <c r="F85" i="1"/>
  <c r="D85" i="1"/>
  <c r="B85" i="1"/>
  <c r="AC84" i="1"/>
  <c r="AB84" i="1"/>
  <c r="Y84" i="1"/>
  <c r="X84" i="1"/>
  <c r="W84" i="1"/>
  <c r="V84" i="1"/>
  <c r="T84" i="1"/>
  <c r="T87" i="1" s="1"/>
  <c r="R84" i="1"/>
  <c r="Q84" i="1"/>
  <c r="N84" i="1"/>
  <c r="N87" i="1" s="1"/>
  <c r="K84" i="1"/>
  <c r="K87" i="1" s="1"/>
  <c r="H84" i="1"/>
  <c r="H87" i="1" s="1"/>
  <c r="F84" i="1"/>
  <c r="D84" i="1"/>
  <c r="B84" i="1"/>
  <c r="AB83" i="1"/>
  <c r="Y83" i="1"/>
  <c r="Y87" i="1" s="1"/>
  <c r="X83" i="1"/>
  <c r="W83" i="1"/>
  <c r="V83" i="1"/>
  <c r="R83" i="1"/>
  <c r="R87" i="1" s="1"/>
  <c r="Q83" i="1"/>
  <c r="Q87" i="1" s="1"/>
  <c r="F83" i="1"/>
  <c r="D83" i="1"/>
  <c r="D87" i="1" s="1"/>
  <c r="B83" i="1"/>
  <c r="B87" i="1" s="1"/>
  <c r="AC82" i="1"/>
  <c r="AC87" i="1" s="1"/>
  <c r="AB82" i="1"/>
  <c r="W82" i="1"/>
  <c r="V82" i="1"/>
  <c r="P82" i="1"/>
  <c r="AD81" i="1"/>
  <c r="AC80" i="1"/>
  <c r="AA80" i="1"/>
  <c r="Z80" i="1"/>
  <c r="U80" i="1"/>
  <c r="T80" i="1"/>
  <c r="S80" i="1"/>
  <c r="P80" i="1"/>
  <c r="O80" i="1"/>
  <c r="L80" i="1"/>
  <c r="I80" i="1"/>
  <c r="H80" i="1"/>
  <c r="E80" i="1"/>
  <c r="C80" i="1"/>
  <c r="F79" i="1"/>
  <c r="B79" i="1"/>
  <c r="AD79" i="1" s="1"/>
  <c r="AB78" i="1"/>
  <c r="Y78" i="1"/>
  <c r="X78" i="1"/>
  <c r="W78" i="1"/>
  <c r="V78" i="1"/>
  <c r="R78" i="1"/>
  <c r="Q78" i="1"/>
  <c r="Q80" i="1" s="1"/>
  <c r="O78" i="1"/>
  <c r="N78" i="1"/>
  <c r="M78" i="1"/>
  <c r="K78" i="1"/>
  <c r="K80" i="1" s="1"/>
  <c r="J78" i="1"/>
  <c r="J80" i="1" s="1"/>
  <c r="G78" i="1"/>
  <c r="G80" i="1" s="1"/>
  <c r="F78" i="1"/>
  <c r="D78" i="1"/>
  <c r="B78" i="1"/>
  <c r="Y77" i="1"/>
  <c r="N77" i="1"/>
  <c r="N80" i="1" s="1"/>
  <c r="M77" i="1"/>
  <c r="H77" i="1"/>
  <c r="F77" i="1"/>
  <c r="D77" i="1"/>
  <c r="B77" i="1"/>
  <c r="W76" i="1"/>
  <c r="V76" i="1"/>
  <c r="F76" i="1"/>
  <c r="B76" i="1"/>
  <c r="AB75" i="1"/>
  <c r="AB80" i="1" s="1"/>
  <c r="Y75" i="1"/>
  <c r="Y80" i="1" s="1"/>
  <c r="X75" i="1"/>
  <c r="X80" i="1" s="1"/>
  <c r="W75" i="1"/>
  <c r="V75" i="1"/>
  <c r="R75" i="1"/>
  <c r="F75" i="1"/>
  <c r="D75" i="1"/>
  <c r="B75" i="1"/>
  <c r="V74" i="1"/>
  <c r="F74" i="1"/>
  <c r="B74" i="1"/>
  <c r="AD74" i="1" s="1"/>
  <c r="W73" i="1"/>
  <c r="V73" i="1"/>
  <c r="V80" i="1" s="1"/>
  <c r="F73" i="1"/>
  <c r="F80" i="1" s="1"/>
  <c r="B73" i="1"/>
  <c r="AD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E71" i="1"/>
  <c r="D71" i="1"/>
  <c r="C71" i="1"/>
  <c r="B71" i="1"/>
  <c r="F70" i="1"/>
  <c r="B70" i="1"/>
  <c r="AD70" i="1" s="1"/>
  <c r="F69" i="1"/>
  <c r="F71" i="1" s="1"/>
  <c r="B69" i="1"/>
  <c r="AD68" i="1"/>
  <c r="AC67" i="1"/>
  <c r="AB67" i="1"/>
  <c r="X67" i="1"/>
  <c r="U67" i="1"/>
  <c r="T67" i="1"/>
  <c r="S67" i="1"/>
  <c r="R67" i="1"/>
  <c r="P67" i="1"/>
  <c r="O67" i="1"/>
  <c r="M67" i="1"/>
  <c r="L67" i="1"/>
  <c r="K67" i="1"/>
  <c r="J67" i="1"/>
  <c r="I67" i="1"/>
  <c r="H67" i="1"/>
  <c r="G67" i="1"/>
  <c r="E67" i="1"/>
  <c r="C67" i="1"/>
  <c r="F66" i="1"/>
  <c r="AD66" i="1" s="1"/>
  <c r="Y64" i="1"/>
  <c r="Q64" i="1"/>
  <c r="F64" i="1"/>
  <c r="F67" i="1" s="1"/>
  <c r="B64" i="1"/>
  <c r="Y63" i="1"/>
  <c r="D63" i="1"/>
  <c r="AD63" i="1" s="1"/>
  <c r="AA62" i="1"/>
  <c r="AA67" i="1" s="1"/>
  <c r="Z62" i="1"/>
  <c r="Z67" i="1" s="1"/>
  <c r="Y62" i="1"/>
  <c r="Y67" i="1" s="1"/>
  <c r="W62" i="1"/>
  <c r="W67" i="1" s="1"/>
  <c r="V62" i="1"/>
  <c r="N62" i="1"/>
  <c r="N67" i="1" s="1"/>
  <c r="F62" i="1"/>
  <c r="D62" i="1"/>
  <c r="B62" i="1"/>
  <c r="AD62" i="1" s="1"/>
  <c r="F61" i="1"/>
  <c r="B61" i="1"/>
  <c r="AD61" i="1" s="1"/>
  <c r="V60" i="1"/>
  <c r="V67" i="1" s="1"/>
  <c r="Q60" i="1"/>
  <c r="D60" i="1"/>
  <c r="AD59" i="1"/>
  <c r="F59" i="1"/>
  <c r="B59" i="1"/>
  <c r="F58" i="1"/>
  <c r="AD58" i="1" s="1"/>
  <c r="B58" i="1"/>
  <c r="F57" i="1"/>
  <c r="B57" i="1"/>
  <c r="AD57" i="1" s="1"/>
  <c r="F56" i="1"/>
  <c r="B56" i="1"/>
  <c r="AD56" i="1" s="1"/>
  <c r="AD55" i="1"/>
  <c r="AC54" i="1"/>
  <c r="AB54" i="1"/>
  <c r="Y54" i="1"/>
  <c r="X54" i="1"/>
  <c r="R54" i="1"/>
  <c r="K54" i="1"/>
  <c r="J54" i="1"/>
  <c r="H54" i="1"/>
  <c r="F54" i="1"/>
  <c r="D54" i="1"/>
  <c r="B54" i="1"/>
  <c r="AA53" i="1"/>
  <c r="Z53" i="1"/>
  <c r="U53" i="1"/>
  <c r="T53" i="1"/>
  <c r="S53" i="1"/>
  <c r="O53" i="1"/>
  <c r="M53" i="1"/>
  <c r="L53" i="1"/>
  <c r="I53" i="1"/>
  <c r="G53" i="1"/>
  <c r="E53" i="1"/>
  <c r="C53" i="1"/>
  <c r="AB52" i="1"/>
  <c r="AB53" i="1" s="1"/>
  <c r="Y52" i="1"/>
  <c r="X52" i="1"/>
  <c r="W52" i="1"/>
  <c r="V52" i="1"/>
  <c r="R52" i="1"/>
  <c r="R53" i="1" s="1"/>
  <c r="O52" i="1"/>
  <c r="K52" i="1"/>
  <c r="J52" i="1"/>
  <c r="J53" i="1" s="1"/>
  <c r="H52" i="1"/>
  <c r="F52" i="1"/>
  <c r="D52" i="1"/>
  <c r="B52" i="1"/>
  <c r="F51" i="1"/>
  <c r="B51" i="1"/>
  <c r="AD51" i="1" s="1"/>
  <c r="AC50" i="1"/>
  <c r="AC53" i="1" s="1"/>
  <c r="B50" i="1"/>
  <c r="AD50" i="1" s="1"/>
  <c r="Y49" i="1"/>
  <c r="X49" i="1"/>
  <c r="W49" i="1"/>
  <c r="W53" i="1" s="1"/>
  <c r="V49" i="1"/>
  <c r="V53" i="1" s="1"/>
  <c r="S49" i="1"/>
  <c r="Q49" i="1"/>
  <c r="Q53" i="1" s="1"/>
  <c r="P49" i="1"/>
  <c r="P53" i="1" s="1"/>
  <c r="O49" i="1"/>
  <c r="N49" i="1"/>
  <c r="N53" i="1" s="1"/>
  <c r="K49" i="1"/>
  <c r="K53" i="1" s="1"/>
  <c r="H49" i="1"/>
  <c r="H53" i="1" s="1"/>
  <c r="F49" i="1"/>
  <c r="D49" i="1"/>
  <c r="D53" i="1" s="1"/>
  <c r="B49" i="1"/>
  <c r="AD48" i="1"/>
  <c r="AC47" i="1"/>
  <c r="N47" i="1"/>
  <c r="I47" i="1"/>
  <c r="C47" i="1"/>
  <c r="AB46" i="1"/>
  <c r="AA46" i="1"/>
  <c r="Z46" i="1"/>
  <c r="Y46" i="1"/>
  <c r="X46" i="1"/>
  <c r="W46" i="1"/>
  <c r="V46" i="1"/>
  <c r="T46" i="1"/>
  <c r="R46" i="1"/>
  <c r="M46" i="1"/>
  <c r="J46" i="1"/>
  <c r="H46" i="1"/>
  <c r="G46" i="1"/>
  <c r="D46" i="1"/>
  <c r="Y45" i="1"/>
  <c r="X45" i="1"/>
  <c r="T45" i="1"/>
  <c r="R45" i="1"/>
  <c r="Q45" i="1"/>
  <c r="P45" i="1"/>
  <c r="O45" i="1"/>
  <c r="H45" i="1"/>
  <c r="F45" i="1"/>
  <c r="D45" i="1"/>
  <c r="AD45" i="1" s="1"/>
  <c r="R44" i="1"/>
  <c r="B44" i="1"/>
  <c r="AD44" i="1" s="1"/>
  <c r="AD43" i="1"/>
  <c r="B43" i="1"/>
  <c r="AB42" i="1"/>
  <c r="AA42" i="1"/>
  <c r="Z42" i="1"/>
  <c r="Y42" i="1"/>
  <c r="X42" i="1"/>
  <c r="W42" i="1"/>
  <c r="V42" i="1"/>
  <c r="T42" i="1"/>
  <c r="S42" i="1"/>
  <c r="R42" i="1"/>
  <c r="M42" i="1"/>
  <c r="J42" i="1"/>
  <c r="H42" i="1"/>
  <c r="G42" i="1"/>
  <c r="D42" i="1"/>
  <c r="W41" i="1"/>
  <c r="V41" i="1"/>
  <c r="U41" i="1"/>
  <c r="S41" i="1"/>
  <c r="P41" i="1"/>
  <c r="L41" i="1"/>
  <c r="F41" i="1"/>
  <c r="B41" i="1"/>
  <c r="AB40" i="1"/>
  <c r="AA40" i="1"/>
  <c r="Z40" i="1"/>
  <c r="Y40" i="1"/>
  <c r="X40" i="1"/>
  <c r="W40" i="1"/>
  <c r="V40" i="1"/>
  <c r="T40" i="1"/>
  <c r="R40" i="1"/>
  <c r="Q40" i="1"/>
  <c r="P40" i="1"/>
  <c r="O40" i="1"/>
  <c r="M40" i="1"/>
  <c r="K40" i="1"/>
  <c r="J40" i="1"/>
  <c r="H40" i="1"/>
  <c r="G40" i="1"/>
  <c r="F40" i="1"/>
  <c r="D40" i="1"/>
  <c r="B40" i="1"/>
  <c r="AB39" i="1"/>
  <c r="AA39" i="1"/>
  <c r="Z39" i="1"/>
  <c r="Y39" i="1"/>
  <c r="X39" i="1"/>
  <c r="W39" i="1"/>
  <c r="V39" i="1"/>
  <c r="U39" i="1"/>
  <c r="T39" i="1"/>
  <c r="S39" i="1"/>
  <c r="R39" i="1"/>
  <c r="Q39" i="1"/>
  <c r="Q47" i="1" s="1"/>
  <c r="P39" i="1"/>
  <c r="O39" i="1"/>
  <c r="M39" i="1"/>
  <c r="L39" i="1"/>
  <c r="K39" i="1"/>
  <c r="J39" i="1"/>
  <c r="H39" i="1"/>
  <c r="H47" i="1" s="1"/>
  <c r="G39" i="1"/>
  <c r="F39" i="1"/>
  <c r="E39" i="1"/>
  <c r="D39" i="1"/>
  <c r="B39" i="1"/>
  <c r="W38" i="1"/>
  <c r="V38" i="1"/>
  <c r="U38" i="1"/>
  <c r="S38" i="1"/>
  <c r="S47" i="1" s="1"/>
  <c r="R38" i="1"/>
  <c r="P38" i="1"/>
  <c r="P47" i="1" s="1"/>
  <c r="L38" i="1"/>
  <c r="L47" i="1" s="1"/>
  <c r="F38" i="1"/>
  <c r="E38" i="1"/>
  <c r="B38" i="1"/>
  <c r="AB37" i="1"/>
  <c r="AA37" i="1"/>
  <c r="AA47" i="1" s="1"/>
  <c r="Z37" i="1"/>
  <c r="Z47" i="1" s="1"/>
  <c r="Y37" i="1"/>
  <c r="X37" i="1"/>
  <c r="W37" i="1"/>
  <c r="V37" i="1"/>
  <c r="T37" i="1"/>
  <c r="T47" i="1" s="1"/>
  <c r="R37" i="1"/>
  <c r="M37" i="1"/>
  <c r="J37" i="1"/>
  <c r="H37" i="1"/>
  <c r="G37" i="1"/>
  <c r="D37" i="1"/>
  <c r="D47" i="1" s="1"/>
  <c r="R36" i="1"/>
  <c r="B36" i="1"/>
  <c r="AD36" i="1" s="1"/>
  <c r="AC35" i="1"/>
  <c r="AB35" i="1"/>
  <c r="Z35" i="1"/>
  <c r="N35" i="1"/>
  <c r="J35" i="1"/>
  <c r="I35" i="1"/>
  <c r="C35" i="1"/>
  <c r="C93" i="1" s="1"/>
  <c r="W34" i="1"/>
  <c r="V34" i="1"/>
  <c r="U34" i="1"/>
  <c r="U35" i="1" s="1"/>
  <c r="S34" i="1"/>
  <c r="S35" i="1" s="1"/>
  <c r="R34" i="1"/>
  <c r="P34" i="1"/>
  <c r="L34" i="1"/>
  <c r="L35" i="1" s="1"/>
  <c r="F34" i="1"/>
  <c r="E34" i="1"/>
  <c r="E35" i="1" s="1"/>
  <c r="B34" i="1"/>
  <c r="AB33" i="1"/>
  <c r="AA33" i="1"/>
  <c r="AA35" i="1" s="1"/>
  <c r="Z33" i="1"/>
  <c r="Y33" i="1"/>
  <c r="Y35" i="1" s="1"/>
  <c r="X33" i="1"/>
  <c r="X35" i="1" s="1"/>
  <c r="W33" i="1"/>
  <c r="V33" i="1"/>
  <c r="T33" i="1"/>
  <c r="T35" i="1" s="1"/>
  <c r="R33" i="1"/>
  <c r="R35" i="1" s="1"/>
  <c r="Q33" i="1"/>
  <c r="Q35" i="1" s="1"/>
  <c r="P33" i="1"/>
  <c r="P35" i="1" s="1"/>
  <c r="O33" i="1"/>
  <c r="O35" i="1" s="1"/>
  <c r="M33" i="1"/>
  <c r="M35" i="1" s="1"/>
  <c r="K33" i="1"/>
  <c r="K35" i="1" s="1"/>
  <c r="J33" i="1"/>
  <c r="H33" i="1"/>
  <c r="H35" i="1" s="1"/>
  <c r="G33" i="1"/>
  <c r="G35" i="1" s="1"/>
  <c r="F33" i="1"/>
  <c r="D33" i="1"/>
  <c r="D35" i="1" s="1"/>
  <c r="B33" i="1"/>
  <c r="AD32" i="1"/>
  <c r="AC28" i="1"/>
  <c r="AB28" i="1"/>
  <c r="Z28" i="1"/>
  <c r="R28" i="1"/>
  <c r="P28" i="1"/>
  <c r="O28" i="1"/>
  <c r="N28" i="1"/>
  <c r="M28" i="1"/>
  <c r="L28" i="1"/>
  <c r="K28" i="1"/>
  <c r="I28" i="1"/>
  <c r="H28" i="1"/>
  <c r="F28" i="1"/>
  <c r="E28" i="1"/>
  <c r="D28" i="1"/>
  <c r="C28" i="1"/>
  <c r="B28" i="1"/>
  <c r="AA27" i="1"/>
  <c r="AA28" i="1" s="1"/>
  <c r="AA29" i="1" s="1"/>
  <c r="AA30" i="1" s="1"/>
  <c r="Z27" i="1"/>
  <c r="Y27" i="1"/>
  <c r="Y28" i="1" s="1"/>
  <c r="X27" i="1"/>
  <c r="X28" i="1" s="1"/>
  <c r="W27" i="1"/>
  <c r="W28" i="1" s="1"/>
  <c r="V27" i="1"/>
  <c r="V28" i="1" s="1"/>
  <c r="T27" i="1"/>
  <c r="T28" i="1" s="1"/>
  <c r="R27" i="1"/>
  <c r="J27" i="1"/>
  <c r="J28" i="1" s="1"/>
  <c r="H27" i="1"/>
  <c r="G27" i="1"/>
  <c r="G28" i="1" s="1"/>
  <c r="D27" i="1"/>
  <c r="U26" i="1"/>
  <c r="U28" i="1" s="1"/>
  <c r="U29" i="1" s="1"/>
  <c r="U30" i="1" s="1"/>
  <c r="S26" i="1"/>
  <c r="P26" i="1"/>
  <c r="AD25" i="1"/>
  <c r="Q25" i="1"/>
  <c r="Q28" i="1" s="1"/>
  <c r="B24" i="1"/>
  <c r="AD24" i="1" s="1"/>
  <c r="AD23" i="1"/>
  <c r="B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N22" i="1"/>
  <c r="M22" i="1"/>
  <c r="L22" i="1"/>
  <c r="J22" i="1"/>
  <c r="I22" i="1"/>
  <c r="H22" i="1"/>
  <c r="G22" i="1"/>
  <c r="E22" i="1"/>
  <c r="D22" i="1"/>
  <c r="C22" i="1"/>
  <c r="B22" i="1"/>
  <c r="F21" i="1"/>
  <c r="AD21" i="1" s="1"/>
  <c r="O20" i="1"/>
  <c r="O22" i="1" s="1"/>
  <c r="K20" i="1"/>
  <c r="K22" i="1" s="1"/>
  <c r="F20" i="1"/>
  <c r="F22" i="1" s="1"/>
  <c r="AB19" i="1"/>
  <c r="AA19" i="1"/>
  <c r="Z19" i="1"/>
  <c r="Z29" i="1" s="1"/>
  <c r="Z30" i="1" s="1"/>
  <c r="Y19" i="1"/>
  <c r="X19" i="1"/>
  <c r="W19" i="1"/>
  <c r="W29" i="1" s="1"/>
  <c r="W30" i="1" s="1"/>
  <c r="V19" i="1"/>
  <c r="U19" i="1"/>
  <c r="T19" i="1"/>
  <c r="S19" i="1"/>
  <c r="R19" i="1"/>
  <c r="R29" i="1" s="1"/>
  <c r="R30" i="1" s="1"/>
  <c r="Q19" i="1"/>
  <c r="P19" i="1"/>
  <c r="O19" i="1"/>
  <c r="K19" i="1"/>
  <c r="J19" i="1"/>
  <c r="J29" i="1" s="1"/>
  <c r="J30" i="1" s="1"/>
  <c r="I19" i="1"/>
  <c r="I29" i="1" s="1"/>
  <c r="I30" i="1" s="1"/>
  <c r="H19" i="1"/>
  <c r="H29" i="1" s="1"/>
  <c r="H30" i="1" s="1"/>
  <c r="G19" i="1"/>
  <c r="D19" i="1"/>
  <c r="C19" i="1"/>
  <c r="C29" i="1" s="1"/>
  <c r="C30" i="1" s="1"/>
  <c r="F18" i="1"/>
  <c r="F19" i="1" s="1"/>
  <c r="AD17" i="1"/>
  <c r="C17" i="1"/>
  <c r="B17" i="1"/>
  <c r="B16" i="1"/>
  <c r="AD16" i="1" s="1"/>
  <c r="L15" i="1"/>
  <c r="B15" i="1"/>
  <c r="AD14" i="1"/>
  <c r="B14" i="1"/>
  <c r="B13" i="1"/>
  <c r="AD13" i="1" s="1"/>
  <c r="AD12" i="1"/>
  <c r="B12" i="1"/>
  <c r="Q11" i="1"/>
  <c r="L11" i="1"/>
  <c r="AD11" i="1" s="1"/>
  <c r="E11" i="1"/>
  <c r="E19" i="1" s="1"/>
  <c r="B11" i="1"/>
  <c r="N10" i="1"/>
  <c r="N19" i="1" s="1"/>
  <c r="N29" i="1" s="1"/>
  <c r="N30" i="1" s="1"/>
  <c r="M10" i="1"/>
  <c r="B9" i="1"/>
  <c r="AD9" i="1" s="1"/>
  <c r="AC8" i="1"/>
  <c r="AC19" i="1" s="1"/>
  <c r="M8" i="1"/>
  <c r="M19" i="1" s="1"/>
  <c r="M29" i="1" s="1"/>
  <c r="M30" i="1" s="1"/>
  <c r="B8" i="1"/>
  <c r="AD8" i="1" s="1"/>
  <c r="AD7" i="1"/>
  <c r="C94" i="1" l="1"/>
  <c r="C95" i="1" s="1"/>
  <c r="E93" i="1"/>
  <c r="T29" i="1"/>
  <c r="T30" i="1" s="1"/>
  <c r="T94" i="1" s="1"/>
  <c r="T95" i="1" s="1"/>
  <c r="AD33" i="1"/>
  <c r="AA93" i="1"/>
  <c r="AC93" i="1"/>
  <c r="AD38" i="1"/>
  <c r="B47" i="1"/>
  <c r="R80" i="1"/>
  <c r="AD80" i="1" s="1"/>
  <c r="W87" i="1"/>
  <c r="AC29" i="1"/>
  <c r="AC30" i="1" s="1"/>
  <c r="D29" i="1"/>
  <c r="D30" i="1" s="1"/>
  <c r="V35" i="1"/>
  <c r="V93" i="1" s="1"/>
  <c r="V94" i="1" s="1"/>
  <c r="V95" i="1" s="1"/>
  <c r="M47" i="1"/>
  <c r="M93" i="1" s="1"/>
  <c r="M94" i="1" s="1"/>
  <c r="M95" i="1" s="1"/>
  <c r="Y47" i="1"/>
  <c r="Y93" i="1" s="1"/>
  <c r="Y94" i="1" s="1"/>
  <c r="Y95" i="1" s="1"/>
  <c r="E47" i="1"/>
  <c r="U47" i="1"/>
  <c r="AD42" i="1"/>
  <c r="AD46" i="1"/>
  <c r="F53" i="1"/>
  <c r="AD54" i="1"/>
  <c r="AD76" i="1"/>
  <c r="AB87" i="1"/>
  <c r="W92" i="1"/>
  <c r="E29" i="1"/>
  <c r="E30" i="1" s="1"/>
  <c r="E94" i="1" s="1"/>
  <c r="E95" i="1" s="1"/>
  <c r="G29" i="1"/>
  <c r="G30" i="1" s="1"/>
  <c r="G94" i="1" s="1"/>
  <c r="G95" i="1" s="1"/>
  <c r="P29" i="1"/>
  <c r="P30" i="1" s="1"/>
  <c r="V29" i="1"/>
  <c r="V30" i="1" s="1"/>
  <c r="AB29" i="1"/>
  <c r="AB30" i="1" s="1"/>
  <c r="AD26" i="1"/>
  <c r="F35" i="1"/>
  <c r="W35" i="1"/>
  <c r="W93" i="1" s="1"/>
  <c r="W94" i="1" s="1"/>
  <c r="W95" i="1" s="1"/>
  <c r="AD34" i="1"/>
  <c r="S93" i="1"/>
  <c r="R47" i="1"/>
  <c r="F47" i="1"/>
  <c r="O47" i="1"/>
  <c r="O93" i="1" s="1"/>
  <c r="AD52" i="1"/>
  <c r="AD64" i="1"/>
  <c r="M80" i="1"/>
  <c r="AD84" i="1"/>
  <c r="U93" i="1"/>
  <c r="I93" i="1"/>
  <c r="I94" i="1" s="1"/>
  <c r="I95" i="1" s="1"/>
  <c r="AD71" i="1"/>
  <c r="K29" i="1"/>
  <c r="K30" i="1" s="1"/>
  <c r="AD27" i="1"/>
  <c r="J93" i="1"/>
  <c r="J94" i="1" s="1"/>
  <c r="J95" i="1" s="1"/>
  <c r="G47" i="1"/>
  <c r="G93" i="1" s="1"/>
  <c r="V47" i="1"/>
  <c r="AB47" i="1"/>
  <c r="AD39" i="1"/>
  <c r="J47" i="1"/>
  <c r="AD40" i="1"/>
  <c r="Y53" i="1"/>
  <c r="D67" i="1"/>
  <c r="D93" i="1" s="1"/>
  <c r="D94" i="1" s="1"/>
  <c r="D95" i="1" s="1"/>
  <c r="D80" i="1"/>
  <c r="AD82" i="1"/>
  <c r="X87" i="1"/>
  <c r="X29" i="1"/>
  <c r="X30" i="1" s="1"/>
  <c r="X94" i="1" s="1"/>
  <c r="X95" i="1" s="1"/>
  <c r="B19" i="1"/>
  <c r="B29" i="1" s="1"/>
  <c r="AD15" i="1"/>
  <c r="AD18" i="1"/>
  <c r="Y29" i="1"/>
  <c r="Y30" i="1" s="1"/>
  <c r="L93" i="1"/>
  <c r="W47" i="1"/>
  <c r="AD37" i="1"/>
  <c r="K47" i="1"/>
  <c r="X47" i="1"/>
  <c r="AD49" i="1"/>
  <c r="X53" i="1"/>
  <c r="X93" i="1" s="1"/>
  <c r="AD60" i="1"/>
  <c r="AD69" i="1"/>
  <c r="W80" i="1"/>
  <c r="AD77" i="1"/>
  <c r="AD78" i="1"/>
  <c r="B80" i="1"/>
  <c r="V87" i="1"/>
  <c r="F87" i="1"/>
  <c r="AD85" i="1"/>
  <c r="AA94" i="1"/>
  <c r="AA95" i="1" s="1"/>
  <c r="N93" i="1"/>
  <c r="O29" i="1"/>
  <c r="O30" i="1" s="1"/>
  <c r="R93" i="1"/>
  <c r="R94" i="1" s="1"/>
  <c r="R95" i="1" s="1"/>
  <c r="K93" i="1"/>
  <c r="T93" i="1"/>
  <c r="AD92" i="1"/>
  <c r="F29" i="1"/>
  <c r="F30" i="1" s="1"/>
  <c r="AC94" i="1"/>
  <c r="AC95" i="1" s="1"/>
  <c r="Q29" i="1"/>
  <c r="Q30" i="1" s="1"/>
  <c r="U94" i="1"/>
  <c r="U95" i="1" s="1"/>
  <c r="K94" i="1"/>
  <c r="K95" i="1" s="1"/>
  <c r="H93" i="1"/>
  <c r="N94" i="1"/>
  <c r="N95" i="1" s="1"/>
  <c r="Z93" i="1"/>
  <c r="Z94" i="1" s="1"/>
  <c r="Z95" i="1" s="1"/>
  <c r="H94" i="1"/>
  <c r="H95" i="1" s="1"/>
  <c r="AD22" i="1"/>
  <c r="AB93" i="1"/>
  <c r="AB94" i="1" s="1"/>
  <c r="AB95" i="1" s="1"/>
  <c r="AD75" i="1"/>
  <c r="AD83" i="1"/>
  <c r="AD73" i="1"/>
  <c r="AD20" i="1"/>
  <c r="S28" i="1"/>
  <c r="S29" i="1" s="1"/>
  <c r="S30" i="1" s="1"/>
  <c r="S94" i="1" s="1"/>
  <c r="S95" i="1" s="1"/>
  <c r="B53" i="1"/>
  <c r="Q67" i="1"/>
  <c r="Q93" i="1" s="1"/>
  <c r="P87" i="1"/>
  <c r="AD91" i="1"/>
  <c r="AD41" i="1"/>
  <c r="B67" i="1"/>
  <c r="AD67" i="1" s="1"/>
  <c r="B35" i="1"/>
  <c r="AD10" i="1"/>
  <c r="L19" i="1"/>
  <c r="L29" i="1" s="1"/>
  <c r="L30" i="1" s="1"/>
  <c r="AD87" i="1" l="1"/>
  <c r="AD28" i="1"/>
  <c r="O94" i="1"/>
  <c r="O95" i="1" s="1"/>
  <c r="F93" i="1"/>
  <c r="L94" i="1"/>
  <c r="L95" i="1" s="1"/>
  <c r="F94" i="1"/>
  <c r="F95" i="1" s="1"/>
  <c r="AD47" i="1"/>
  <c r="AD53" i="1"/>
  <c r="Q94" i="1"/>
  <c r="Q95" i="1" s="1"/>
  <c r="AD19" i="1"/>
  <c r="B30" i="1"/>
  <c r="AD29" i="1"/>
  <c r="P93" i="1"/>
  <c r="P94" i="1" s="1"/>
  <c r="P95" i="1" s="1"/>
  <c r="AD35" i="1"/>
  <c r="B93" i="1"/>
  <c r="AD93" i="1" s="1"/>
  <c r="B94" i="1" l="1"/>
  <c r="AD30" i="1"/>
  <c r="AD94" i="1" l="1"/>
  <c r="B95" i="1"/>
  <c r="AD95" i="1" s="1"/>
</calcChain>
</file>

<file path=xl/sharedStrings.xml><?xml version="1.0" encoding="utf-8"?>
<sst xmlns="http://schemas.openxmlformats.org/spreadsheetml/2006/main" count="150" uniqueCount="121">
  <si>
    <t>0010 - Operations</t>
  </si>
  <si>
    <t>0025 - Staff Account</t>
  </si>
  <si>
    <t>0065 - CRRSA</t>
  </si>
  <si>
    <t>0110 - NKYEC</t>
  </si>
  <si>
    <t>1100 - RSP</t>
  </si>
  <si>
    <t>1130 - DEI Support</t>
  </si>
  <si>
    <t>1135 - DEI Grant</t>
  </si>
  <si>
    <t>1140 - DEI Training</t>
  </si>
  <si>
    <t>1260- Positive Action</t>
  </si>
  <si>
    <t>1310 - EL Local</t>
  </si>
  <si>
    <t>1415 - NKU Regional Consultant</t>
  </si>
  <si>
    <t>1509 - Professional Development</t>
  </si>
  <si>
    <t>1550 - Special Ed PD</t>
  </si>
  <si>
    <t>1975 - YSA</t>
  </si>
  <si>
    <t>2010 - FRYSC State</t>
  </si>
  <si>
    <t>2200 - Mandarin Program</t>
  </si>
  <si>
    <t>2800 - Arts in Education</t>
  </si>
  <si>
    <t>2910 - DAIL</t>
  </si>
  <si>
    <t>3010 - FRYSC - Fed</t>
  </si>
  <si>
    <t>3220 - PERS Effectiveness Coach</t>
  </si>
  <si>
    <t>336I - IDEA-B 21-22</t>
  </si>
  <si>
    <t>336J - IDEA B 22-23</t>
  </si>
  <si>
    <t>3416- SPF</t>
  </si>
  <si>
    <t>3425 - Deeper Learning</t>
  </si>
  <si>
    <t>345I - Title III EL 21-22</t>
  </si>
  <si>
    <t>345J - Title III  EL 22-23</t>
  </si>
  <si>
    <t>4101C - Arts Grant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</si>
  <si>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</si>
  <si>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</si>
  <si>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</si>
  <si>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</si>
  <si>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</si>
  <si>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</si>
  <si>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</si>
  <si>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</si>
  <si>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</si>
  <si>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</si>
  <si>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</si>
  <si>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</si>
  <si>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</si>
  <si>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</si>
  <si>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</si>
  <si>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</si>
  <si>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</si>
  <si>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</si>
  <si>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</si>
  <si>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</si>
  <si>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</si>
  <si>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</si>
  <si>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</si>
  <si>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</si>
  <si>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</si>
  <si>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</si>
  <si>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</si>
  <si>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</si>
  <si>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</si>
  <si>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</si>
  <si>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</si>
  <si>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</si>
  <si>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</si>
  <si>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</si>
  <si>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</si>
  <si>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</si>
  <si>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</si>
  <si>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</si>
  <si>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</si>
  <si>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</si>
  <si>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</si>
  <si>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</si>
  <si>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</si>
  <si>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</si>
  <si>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</si>
  <si>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</si>
  <si>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</si>
  <si>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</si>
  <si>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</si>
  <si>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</si>
  <si>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</si>
  <si>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</si>
  <si>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</si>
  <si>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</si>
  <si>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</si>
  <si>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</si>
  <si>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</si>
  <si>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</si>
  <si>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</si>
  <si>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</si>
  <si>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</si>
  <si>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</si>
  <si>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</si>
  <si>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</si>
  <si>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</si>
  <si>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</si>
  <si>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</si>
  <si>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</si>
  <si>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</si>
  <si>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</si>
  <si>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</si>
  <si>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</si>
  <si>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</si>
  <si>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</si>
  <si>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</si>
  <si>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</si>
  <si>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</si>
  <si>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</si>
  <si>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</si>
  <si>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</si>
  <si>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</si>
  <si>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</si>
  <si>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</si>
  <si>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</si>
  <si>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</si>
  <si>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40830 DISTRICT RECORD FEE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</si>
  <si>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</si>
  <si>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</si>
  <si>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</si>
  <si>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</si>
  <si>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</si>
  <si>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</si>
  <si>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</si>
  <si>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- November,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</si>
</sst>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9"/>
  <sheetViews>
    <sheetView tabSelected="1" workbookViewId="0">
      <selection activeCell="G11" sqref="G11"/>
    </sheetView>
  </sheetViews>
  <sheetFormatPr defaultRowHeight="15" x14ac:dyDescent="0.25"/>
  <cols>
    <col min="1" max="1" width="37.85546875" customWidth="1"/>
    <col min="2" max="2" width="10.28515625" customWidth="1"/>
    <col min="3" max="3" width="7.7109375" customWidth="1"/>
    <col min="4" max="4" width="11.140625" customWidth="1"/>
    <col min="5" max="6" width="10.28515625" customWidth="1"/>
    <col min="7" max="7" width="8.5703125" customWidth="1"/>
    <col min="8" max="8" width="11.140625" customWidth="1"/>
    <col min="9" max="9" width="7.7109375" customWidth="1"/>
    <col min="10" max="10" width="11.140625" customWidth="1"/>
    <col min="11" max="11" width="9.42578125" customWidth="1"/>
    <col min="12" max="12" width="11.140625" customWidth="1"/>
    <col min="13" max="13" width="8.5703125" customWidth="1"/>
    <col min="14" max="14" width="11.140625" customWidth="1"/>
    <col min="15" max="15" width="9.42578125" customWidth="1"/>
    <col min="16" max="17" width="10.28515625" customWidth="1"/>
    <col min="18" max="18" width="12" customWidth="1"/>
    <col min="19" max="20" width="10.28515625" customWidth="1"/>
    <col min="21" max="21" width="11.140625" customWidth="1"/>
    <col min="22" max="22" width="10.28515625" customWidth="1"/>
    <col min="23" max="25" width="11.140625" customWidth="1"/>
    <col min="26" max="26" width="8.5703125" customWidth="1"/>
    <col min="27" max="27" width="10.28515625" customWidth="1"/>
    <col min="28" max="28" width="12" customWidth="1"/>
    <col min="29" max="29" width="7.7109375" customWidth="1"/>
    <col min="30" max="30" width="12" customWidth="1"/>
  </cols>
  <sheetData>
    <row r="1" spans="1:30" ht="18" x14ac:dyDescent="0.25">
      <c r="A1" s="10" t="s">
        <v>118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8" x14ac:dyDescent="0.25">
      <c r="A2" s="10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x14ac:dyDescent="0.25">
      <c r="A3" s="11" t="s">
        <v>120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5" spans="1:30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</row>
    <row r="6" spans="1:30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3" t="s">
        <v>30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>
        <f t="shared" ref="AD7:AD30" si="0">(((((((((((((((((((((((((((B7)+(C7))+(D7))+(E7))+(F7))+(G7))+(H7))+(I7))+(J7))+(K7))+(L7))+(M7))+(N7))+(O7))+(P7))+(Q7))+(R7))+(S7))+(T7))+(U7))+(V7))+(W7))+(X7))+(Y7))+(Z7))+(AA7))+(AB7))+(AC7)</f>
        <v>0</v>
      </c>
    </row>
    <row r="8" spans="1:30" x14ac:dyDescent="0.25">
      <c r="A8" s="3" t="s">
        <v>31</v>
      </c>
      <c r="B8" s="5">
        <f>248126.97</f>
        <v>248126.97</v>
      </c>
      <c r="C8" s="4"/>
      <c r="D8" s="4"/>
      <c r="E8" s="4"/>
      <c r="F8" s="4"/>
      <c r="G8" s="4"/>
      <c r="H8" s="4"/>
      <c r="I8" s="4"/>
      <c r="J8" s="4"/>
      <c r="K8" s="4"/>
      <c r="L8" s="4"/>
      <c r="M8" s="5">
        <f>400</f>
        <v>400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>
        <f>0</f>
        <v>0</v>
      </c>
      <c r="AD8" s="5">
        <f t="shared" si="0"/>
        <v>248526.97</v>
      </c>
    </row>
    <row r="9" spans="1:30" x14ac:dyDescent="0.25">
      <c r="A9" s="3" t="s">
        <v>32</v>
      </c>
      <c r="B9" s="5">
        <f>21113.77</f>
        <v>21113.77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>
        <f t="shared" si="0"/>
        <v>21113.77</v>
      </c>
    </row>
    <row r="10" spans="1:30" x14ac:dyDescent="0.25">
      <c r="A10" s="3" t="s">
        <v>33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>
        <f>7600</f>
        <v>7600</v>
      </c>
      <c r="N10" s="5">
        <f>16775</f>
        <v>16775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>
        <f t="shared" si="0"/>
        <v>24375</v>
      </c>
    </row>
    <row r="11" spans="1:30" x14ac:dyDescent="0.25">
      <c r="A11" s="3" t="s">
        <v>34</v>
      </c>
      <c r="B11" s="5">
        <f>35000</f>
        <v>35000</v>
      </c>
      <c r="C11" s="4"/>
      <c r="D11" s="4"/>
      <c r="E11" s="5">
        <f>12943.11</f>
        <v>12943.11</v>
      </c>
      <c r="F11" s="4"/>
      <c r="G11" s="4"/>
      <c r="H11" s="4"/>
      <c r="I11" s="4"/>
      <c r="J11" s="4"/>
      <c r="K11" s="4"/>
      <c r="L11" s="5">
        <f>22883.04</f>
        <v>22883.040000000001</v>
      </c>
      <c r="M11" s="4"/>
      <c r="N11" s="4"/>
      <c r="O11" s="4"/>
      <c r="P11" s="4"/>
      <c r="Q11" s="5">
        <f>518363</f>
        <v>518363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">
        <f t="shared" si="0"/>
        <v>589189.15</v>
      </c>
    </row>
    <row r="12" spans="1:30" x14ac:dyDescent="0.25">
      <c r="A12" s="3" t="s">
        <v>35</v>
      </c>
      <c r="B12" s="5">
        <f>750</f>
        <v>750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>
        <f t="shared" si="0"/>
        <v>750</v>
      </c>
    </row>
    <row r="13" spans="1:30" x14ac:dyDescent="0.25">
      <c r="A13" s="3" t="s">
        <v>36</v>
      </c>
      <c r="B13" s="5">
        <f>8551.05</f>
        <v>8551.0499999999993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5">
        <f t="shared" si="0"/>
        <v>8551.0499999999993</v>
      </c>
    </row>
    <row r="14" spans="1:30" x14ac:dyDescent="0.25">
      <c r="A14" s="3" t="s">
        <v>37</v>
      </c>
      <c r="B14" s="5">
        <f>29092.25</f>
        <v>29092.25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>
        <f t="shared" si="0"/>
        <v>29092.25</v>
      </c>
    </row>
    <row r="15" spans="1:30" x14ac:dyDescent="0.25">
      <c r="A15" s="3" t="s">
        <v>38</v>
      </c>
      <c r="B15" s="5">
        <f>318427.98</f>
        <v>318427.98</v>
      </c>
      <c r="C15" s="4"/>
      <c r="D15" s="4"/>
      <c r="E15" s="4"/>
      <c r="F15" s="4"/>
      <c r="G15" s="4"/>
      <c r="H15" s="4"/>
      <c r="I15" s="4"/>
      <c r="J15" s="4"/>
      <c r="K15" s="4"/>
      <c r="L15" s="5">
        <f>1830.63</f>
        <v>1830.63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5">
        <f t="shared" si="0"/>
        <v>320258.61</v>
      </c>
    </row>
    <row r="16" spans="1:30" x14ac:dyDescent="0.25">
      <c r="A16" s="3" t="s">
        <v>39</v>
      </c>
      <c r="B16" s="5">
        <f>54700</f>
        <v>54700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>
        <f t="shared" si="0"/>
        <v>54700</v>
      </c>
    </row>
    <row r="17" spans="1:30" x14ac:dyDescent="0.25">
      <c r="A17" s="3" t="s">
        <v>40</v>
      </c>
      <c r="B17" s="5">
        <f>1875.04</f>
        <v>1875.04</v>
      </c>
      <c r="C17" s="5">
        <f>190</f>
        <v>190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5">
        <f t="shared" si="0"/>
        <v>2065.04</v>
      </c>
    </row>
    <row r="18" spans="1:30" x14ac:dyDescent="0.25">
      <c r="A18" s="3" t="s">
        <v>41</v>
      </c>
      <c r="B18" s="4"/>
      <c r="C18" s="4"/>
      <c r="D18" s="4"/>
      <c r="E18" s="4"/>
      <c r="F18" s="5">
        <f>48878.99</f>
        <v>48878.99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>
        <f t="shared" si="0"/>
        <v>48878.99</v>
      </c>
    </row>
    <row r="19" spans="1:30" x14ac:dyDescent="0.25">
      <c r="A19" s="3" t="s">
        <v>42</v>
      </c>
      <c r="B19" s="6">
        <f t="shared" ref="B19:AC19" si="1">(((((((((((B7)+(B8))+(B9))+(B10))+(B11))+(B12))+(B13))+(B14))+(B15))+(B16))+(B17))+(B18)</f>
        <v>717637.06</v>
      </c>
      <c r="C19" s="6">
        <f t="shared" si="1"/>
        <v>190</v>
      </c>
      <c r="D19" s="6">
        <f t="shared" si="1"/>
        <v>0</v>
      </c>
      <c r="E19" s="6">
        <f t="shared" si="1"/>
        <v>12943.11</v>
      </c>
      <c r="F19" s="6">
        <f t="shared" si="1"/>
        <v>48878.99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24713.670000000002</v>
      </c>
      <c r="M19" s="6">
        <f t="shared" si="1"/>
        <v>8000</v>
      </c>
      <c r="N19" s="6">
        <f t="shared" si="1"/>
        <v>16775</v>
      </c>
      <c r="O19" s="6">
        <f t="shared" si="1"/>
        <v>0</v>
      </c>
      <c r="P19" s="6">
        <f t="shared" si="1"/>
        <v>0</v>
      </c>
      <c r="Q19" s="6">
        <f t="shared" si="1"/>
        <v>518363</v>
      </c>
      <c r="R19" s="6">
        <f t="shared" si="1"/>
        <v>0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>
        <f t="shared" si="1"/>
        <v>0</v>
      </c>
      <c r="Y19" s="6">
        <f t="shared" si="1"/>
        <v>0</v>
      </c>
      <c r="Z19" s="6">
        <f t="shared" si="1"/>
        <v>0</v>
      </c>
      <c r="AA19" s="6">
        <f t="shared" si="1"/>
        <v>0</v>
      </c>
      <c r="AB19" s="6">
        <f t="shared" si="1"/>
        <v>0</v>
      </c>
      <c r="AC19" s="6">
        <f t="shared" si="1"/>
        <v>0</v>
      </c>
      <c r="AD19" s="6">
        <f t="shared" si="0"/>
        <v>1347500.83</v>
      </c>
    </row>
    <row r="20" spans="1:30" x14ac:dyDescent="0.25">
      <c r="A20" s="3" t="s">
        <v>43</v>
      </c>
      <c r="B20" s="4"/>
      <c r="C20" s="4"/>
      <c r="D20" s="4"/>
      <c r="E20" s="4"/>
      <c r="F20" s="5">
        <f>832741.89</f>
        <v>832741.89</v>
      </c>
      <c r="G20" s="4"/>
      <c r="H20" s="4"/>
      <c r="I20" s="4"/>
      <c r="J20" s="4"/>
      <c r="K20" s="5">
        <f>51585.52</f>
        <v>51585.52</v>
      </c>
      <c r="L20" s="4"/>
      <c r="M20" s="4"/>
      <c r="N20" s="4"/>
      <c r="O20" s="5">
        <f>70559.5</f>
        <v>70559.5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5">
        <f t="shared" si="0"/>
        <v>954886.91</v>
      </c>
    </row>
    <row r="21" spans="1:30" x14ac:dyDescent="0.25">
      <c r="A21" s="3" t="s">
        <v>44</v>
      </c>
      <c r="B21" s="4"/>
      <c r="C21" s="4"/>
      <c r="D21" s="4"/>
      <c r="E21" s="4"/>
      <c r="F21" s="5">
        <f>13546.57</f>
        <v>13546.57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>
        <f t="shared" si="0"/>
        <v>13546.57</v>
      </c>
    </row>
    <row r="22" spans="1:30" x14ac:dyDescent="0.25">
      <c r="A22" s="3" t="s">
        <v>45</v>
      </c>
      <c r="B22" s="6">
        <f t="shared" ref="B22:AC22" si="2">(B20)+(B21)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846288.46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51585.52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6">
        <f t="shared" si="2"/>
        <v>70559.5</v>
      </c>
      <c r="P22" s="6">
        <f t="shared" si="2"/>
        <v>0</v>
      </c>
      <c r="Q22" s="6">
        <f t="shared" si="2"/>
        <v>0</v>
      </c>
      <c r="R22" s="6">
        <f t="shared" si="2"/>
        <v>0</v>
      </c>
      <c r="S22" s="6">
        <f t="shared" si="2"/>
        <v>0</v>
      </c>
      <c r="T22" s="6">
        <f t="shared" si="2"/>
        <v>0</v>
      </c>
      <c r="U22" s="6">
        <f t="shared" si="2"/>
        <v>0</v>
      </c>
      <c r="V22" s="6">
        <f t="shared" si="2"/>
        <v>0</v>
      </c>
      <c r="W22" s="6">
        <f t="shared" si="2"/>
        <v>0</v>
      </c>
      <c r="X22" s="6">
        <f t="shared" si="2"/>
        <v>0</v>
      </c>
      <c r="Y22" s="6">
        <f t="shared" si="2"/>
        <v>0</v>
      </c>
      <c r="Z22" s="6">
        <f t="shared" si="2"/>
        <v>0</v>
      </c>
      <c r="AA22" s="6">
        <f t="shared" si="2"/>
        <v>0</v>
      </c>
      <c r="AB22" s="6">
        <f t="shared" si="2"/>
        <v>0</v>
      </c>
      <c r="AC22" s="6">
        <f t="shared" si="2"/>
        <v>0</v>
      </c>
      <c r="AD22" s="6">
        <f t="shared" si="0"/>
        <v>968433.48</v>
      </c>
    </row>
    <row r="23" spans="1:30" x14ac:dyDescent="0.25">
      <c r="A23" s="3" t="s">
        <v>46</v>
      </c>
      <c r="B23" s="5">
        <f>52920</f>
        <v>52920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5">
        <f t="shared" si="0"/>
        <v>52920</v>
      </c>
    </row>
    <row r="24" spans="1:30" x14ac:dyDescent="0.25">
      <c r="A24" s="3" t="s">
        <v>47</v>
      </c>
      <c r="B24" s="5">
        <f>19343.88</f>
        <v>19343.88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">
        <f t="shared" si="0"/>
        <v>19343.88</v>
      </c>
    </row>
    <row r="25" spans="1:30" x14ac:dyDescent="0.25">
      <c r="A25" s="3" t="s">
        <v>48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>
        <f>-133705</f>
        <v>-133705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5">
        <f t="shared" si="0"/>
        <v>-133705</v>
      </c>
    </row>
    <row r="26" spans="1:30" x14ac:dyDescent="0.25">
      <c r="A26" s="3" t="s">
        <v>49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>
        <f>372477.16</f>
        <v>372477.16</v>
      </c>
      <c r="Q26" s="4"/>
      <c r="R26" s="4"/>
      <c r="S26" s="5">
        <f>305448.35</f>
        <v>305448.34999999998</v>
      </c>
      <c r="T26" s="4"/>
      <c r="U26" s="5">
        <f>21758</f>
        <v>21758</v>
      </c>
      <c r="V26" s="4"/>
      <c r="W26" s="4"/>
      <c r="X26" s="4"/>
      <c r="Y26" s="4"/>
      <c r="Z26" s="4"/>
      <c r="AA26" s="4"/>
      <c r="AB26" s="4"/>
      <c r="AC26" s="4"/>
      <c r="AD26" s="5">
        <f t="shared" si="0"/>
        <v>699683.51</v>
      </c>
    </row>
    <row r="27" spans="1:30" x14ac:dyDescent="0.25">
      <c r="A27" s="3" t="s">
        <v>50</v>
      </c>
      <c r="B27" s="4"/>
      <c r="C27" s="4"/>
      <c r="D27" s="5">
        <f>148633.16</f>
        <v>148633.16</v>
      </c>
      <c r="E27" s="4"/>
      <c r="F27" s="4"/>
      <c r="G27" s="5">
        <f>6123.29</f>
        <v>6123.29</v>
      </c>
      <c r="H27" s="5">
        <f>21313.41</f>
        <v>21313.41</v>
      </c>
      <c r="I27" s="4"/>
      <c r="J27" s="5">
        <f>64562.68</f>
        <v>64562.68</v>
      </c>
      <c r="K27" s="4"/>
      <c r="L27" s="4"/>
      <c r="M27" s="4"/>
      <c r="N27" s="4"/>
      <c r="O27" s="4"/>
      <c r="P27" s="4"/>
      <c r="Q27" s="4"/>
      <c r="R27" s="5">
        <f>270988.21</f>
        <v>270988.21000000002</v>
      </c>
      <c r="S27" s="4"/>
      <c r="T27" s="5">
        <f>230778.11</f>
        <v>230778.11</v>
      </c>
      <c r="U27" s="4"/>
      <c r="V27" s="5">
        <f>296862.41</f>
        <v>296862.40999999997</v>
      </c>
      <c r="W27" s="5">
        <f>94959</f>
        <v>94959</v>
      </c>
      <c r="X27" s="5">
        <f>79056.01</f>
        <v>79056.009999999995</v>
      </c>
      <c r="Y27" s="5">
        <f>96493.2</f>
        <v>96493.2</v>
      </c>
      <c r="Z27" s="5">
        <f>6590</f>
        <v>6590</v>
      </c>
      <c r="AA27" s="5">
        <f>765</f>
        <v>765</v>
      </c>
      <c r="AB27" s="4"/>
      <c r="AC27" s="4"/>
      <c r="AD27" s="5">
        <f t="shared" si="0"/>
        <v>1317124.48</v>
      </c>
    </row>
    <row r="28" spans="1:30" x14ac:dyDescent="0.25">
      <c r="A28" s="3" t="s">
        <v>51</v>
      </c>
      <c r="B28" s="6">
        <f t="shared" ref="B28:AC28" si="3">((B25)+(B26))+(B27)</f>
        <v>0</v>
      </c>
      <c r="C28" s="6">
        <f t="shared" si="3"/>
        <v>0</v>
      </c>
      <c r="D28" s="6">
        <f t="shared" si="3"/>
        <v>148633.16</v>
      </c>
      <c r="E28" s="6">
        <f t="shared" si="3"/>
        <v>0</v>
      </c>
      <c r="F28" s="6">
        <f t="shared" si="3"/>
        <v>0</v>
      </c>
      <c r="G28" s="6">
        <f t="shared" si="3"/>
        <v>6123.29</v>
      </c>
      <c r="H28" s="6">
        <f t="shared" si="3"/>
        <v>21313.41</v>
      </c>
      <c r="I28" s="6">
        <f t="shared" si="3"/>
        <v>0</v>
      </c>
      <c r="J28" s="6">
        <f t="shared" si="3"/>
        <v>64562.68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  <c r="P28" s="6">
        <f t="shared" si="3"/>
        <v>372477.16</v>
      </c>
      <c r="Q28" s="6">
        <f t="shared" si="3"/>
        <v>-133705</v>
      </c>
      <c r="R28" s="6">
        <f t="shared" si="3"/>
        <v>270988.21000000002</v>
      </c>
      <c r="S28" s="6">
        <f t="shared" si="3"/>
        <v>305448.34999999998</v>
      </c>
      <c r="T28" s="6">
        <f t="shared" si="3"/>
        <v>230778.11</v>
      </c>
      <c r="U28" s="6">
        <f t="shared" si="3"/>
        <v>21758</v>
      </c>
      <c r="V28" s="6">
        <f t="shared" si="3"/>
        <v>296862.40999999997</v>
      </c>
      <c r="W28" s="6">
        <f t="shared" si="3"/>
        <v>94959</v>
      </c>
      <c r="X28" s="6">
        <f t="shared" si="3"/>
        <v>79056.009999999995</v>
      </c>
      <c r="Y28" s="6">
        <f t="shared" si="3"/>
        <v>96493.2</v>
      </c>
      <c r="Z28" s="6">
        <f t="shared" si="3"/>
        <v>6590</v>
      </c>
      <c r="AA28" s="6">
        <f t="shared" si="3"/>
        <v>765</v>
      </c>
      <c r="AB28" s="6">
        <f t="shared" si="3"/>
        <v>0</v>
      </c>
      <c r="AC28" s="6">
        <f t="shared" si="3"/>
        <v>0</v>
      </c>
      <c r="AD28" s="6">
        <f t="shared" si="0"/>
        <v>1883102.9899999995</v>
      </c>
    </row>
    <row r="29" spans="1:30" x14ac:dyDescent="0.25">
      <c r="A29" s="3" t="s">
        <v>52</v>
      </c>
      <c r="B29" s="6">
        <f t="shared" ref="B29:AC29" si="4">((((B19)+(B22))+(B23))+(B24))+(B28)</f>
        <v>789900.94000000006</v>
      </c>
      <c r="C29" s="6">
        <f t="shared" si="4"/>
        <v>190</v>
      </c>
      <c r="D29" s="6">
        <f t="shared" si="4"/>
        <v>148633.16</v>
      </c>
      <c r="E29" s="6">
        <f t="shared" si="4"/>
        <v>12943.11</v>
      </c>
      <c r="F29" s="6">
        <f t="shared" si="4"/>
        <v>895167.45</v>
      </c>
      <c r="G29" s="6">
        <f t="shared" si="4"/>
        <v>6123.29</v>
      </c>
      <c r="H29" s="6">
        <f t="shared" si="4"/>
        <v>21313.41</v>
      </c>
      <c r="I29" s="6">
        <f t="shared" si="4"/>
        <v>0</v>
      </c>
      <c r="J29" s="6">
        <f t="shared" si="4"/>
        <v>64562.68</v>
      </c>
      <c r="K29" s="6">
        <f t="shared" si="4"/>
        <v>51585.52</v>
      </c>
      <c r="L29" s="6">
        <f t="shared" si="4"/>
        <v>24713.670000000002</v>
      </c>
      <c r="M29" s="6">
        <f t="shared" si="4"/>
        <v>8000</v>
      </c>
      <c r="N29" s="6">
        <f t="shared" si="4"/>
        <v>16775</v>
      </c>
      <c r="O29" s="6">
        <f t="shared" si="4"/>
        <v>70559.5</v>
      </c>
      <c r="P29" s="6">
        <f t="shared" si="4"/>
        <v>372477.16</v>
      </c>
      <c r="Q29" s="6">
        <f t="shared" si="4"/>
        <v>384658</v>
      </c>
      <c r="R29" s="6">
        <f t="shared" si="4"/>
        <v>270988.21000000002</v>
      </c>
      <c r="S29" s="6">
        <f t="shared" si="4"/>
        <v>305448.34999999998</v>
      </c>
      <c r="T29" s="6">
        <f t="shared" si="4"/>
        <v>230778.11</v>
      </c>
      <c r="U29" s="6">
        <f t="shared" si="4"/>
        <v>21758</v>
      </c>
      <c r="V29" s="6">
        <f t="shared" si="4"/>
        <v>296862.40999999997</v>
      </c>
      <c r="W29" s="6">
        <f t="shared" si="4"/>
        <v>94959</v>
      </c>
      <c r="X29" s="6">
        <f t="shared" si="4"/>
        <v>79056.009999999995</v>
      </c>
      <c r="Y29" s="6">
        <f t="shared" si="4"/>
        <v>96493.2</v>
      </c>
      <c r="Z29" s="6">
        <f t="shared" si="4"/>
        <v>6590</v>
      </c>
      <c r="AA29" s="6">
        <f t="shared" si="4"/>
        <v>765</v>
      </c>
      <c r="AB29" s="6">
        <f t="shared" si="4"/>
        <v>0</v>
      </c>
      <c r="AC29" s="6">
        <f t="shared" si="4"/>
        <v>0</v>
      </c>
      <c r="AD29" s="6">
        <f t="shared" si="0"/>
        <v>4271301.18</v>
      </c>
    </row>
    <row r="30" spans="1:30" x14ac:dyDescent="0.25">
      <c r="A30" s="3" t="s">
        <v>53</v>
      </c>
      <c r="B30" s="6">
        <f t="shared" ref="B30:AC30" si="5">(B29)-(0)</f>
        <v>789900.94000000006</v>
      </c>
      <c r="C30" s="6">
        <f t="shared" si="5"/>
        <v>190</v>
      </c>
      <c r="D30" s="6">
        <f t="shared" si="5"/>
        <v>148633.16</v>
      </c>
      <c r="E30" s="6">
        <f t="shared" si="5"/>
        <v>12943.11</v>
      </c>
      <c r="F30" s="6">
        <f t="shared" si="5"/>
        <v>895167.45</v>
      </c>
      <c r="G30" s="6">
        <f t="shared" si="5"/>
        <v>6123.29</v>
      </c>
      <c r="H30" s="6">
        <f t="shared" si="5"/>
        <v>21313.41</v>
      </c>
      <c r="I30" s="6">
        <f t="shared" si="5"/>
        <v>0</v>
      </c>
      <c r="J30" s="6">
        <f t="shared" si="5"/>
        <v>64562.68</v>
      </c>
      <c r="K30" s="6">
        <f t="shared" si="5"/>
        <v>51585.52</v>
      </c>
      <c r="L30" s="6">
        <f t="shared" si="5"/>
        <v>24713.670000000002</v>
      </c>
      <c r="M30" s="6">
        <f t="shared" si="5"/>
        <v>8000</v>
      </c>
      <c r="N30" s="6">
        <f t="shared" si="5"/>
        <v>16775</v>
      </c>
      <c r="O30" s="6">
        <f t="shared" si="5"/>
        <v>70559.5</v>
      </c>
      <c r="P30" s="6">
        <f t="shared" si="5"/>
        <v>372477.16</v>
      </c>
      <c r="Q30" s="6">
        <f t="shared" si="5"/>
        <v>384658</v>
      </c>
      <c r="R30" s="6">
        <f t="shared" si="5"/>
        <v>270988.21000000002</v>
      </c>
      <c r="S30" s="6">
        <f t="shared" si="5"/>
        <v>305448.34999999998</v>
      </c>
      <c r="T30" s="6">
        <f t="shared" si="5"/>
        <v>230778.11</v>
      </c>
      <c r="U30" s="6">
        <f t="shared" si="5"/>
        <v>21758</v>
      </c>
      <c r="V30" s="6">
        <f t="shared" si="5"/>
        <v>296862.40999999997</v>
      </c>
      <c r="W30" s="6">
        <f t="shared" si="5"/>
        <v>94959</v>
      </c>
      <c r="X30" s="6">
        <f t="shared" si="5"/>
        <v>79056.009999999995</v>
      </c>
      <c r="Y30" s="6">
        <f t="shared" si="5"/>
        <v>96493.2</v>
      </c>
      <c r="Z30" s="6">
        <f t="shared" si="5"/>
        <v>6590</v>
      </c>
      <c r="AA30" s="6">
        <f t="shared" si="5"/>
        <v>765</v>
      </c>
      <c r="AB30" s="6">
        <f t="shared" si="5"/>
        <v>0</v>
      </c>
      <c r="AC30" s="6">
        <f t="shared" si="5"/>
        <v>0</v>
      </c>
      <c r="AD30" s="6">
        <f t="shared" si="0"/>
        <v>4271301.18</v>
      </c>
    </row>
    <row r="31" spans="1:30" x14ac:dyDescent="0.25">
      <c r="A31" s="3" t="s">
        <v>54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x14ac:dyDescent="0.25">
      <c r="A32" s="3" t="s">
        <v>55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5">
        <f t="shared" ref="AD32:AD63" si="6">(((((((((((((((((((((((((((B32)+(C32))+(D32))+(E32))+(F32))+(G32))+(H32))+(I32))+(J32))+(K32))+(L32))+(M32))+(N32))+(O32))+(P32))+(Q32))+(R32))+(S32))+(T32))+(U32))+(V32))+(W32))+(X32))+(Y32))+(Z32))+(AA32))+(AB32))+(AC32)</f>
        <v>0</v>
      </c>
    </row>
    <row r="33" spans="1:30" x14ac:dyDescent="0.25">
      <c r="A33" s="3" t="s">
        <v>56</v>
      </c>
      <c r="B33" s="5">
        <f>112825.68</f>
        <v>112825.68</v>
      </c>
      <c r="C33" s="4"/>
      <c r="D33" s="5">
        <f>144287.24</f>
        <v>144287.24</v>
      </c>
      <c r="E33" s="4"/>
      <c r="F33" s="5">
        <f>314909.12</f>
        <v>314909.12</v>
      </c>
      <c r="G33" s="5">
        <f>4471</f>
        <v>4471</v>
      </c>
      <c r="H33" s="5">
        <f>31344.8</f>
        <v>31344.799999999999</v>
      </c>
      <c r="I33" s="4"/>
      <c r="J33" s="5">
        <f>46366.72</f>
        <v>46366.720000000001</v>
      </c>
      <c r="K33" s="5">
        <f>41575.7</f>
        <v>41575.699999999997</v>
      </c>
      <c r="L33" s="4"/>
      <c r="M33" s="5">
        <f>1203.93</f>
        <v>1203.93</v>
      </c>
      <c r="N33" s="4"/>
      <c r="O33" s="5">
        <f>22279.4</f>
        <v>22279.4</v>
      </c>
      <c r="P33" s="5">
        <f>238269.93</f>
        <v>238269.93</v>
      </c>
      <c r="Q33" s="5">
        <f>52275</f>
        <v>52275</v>
      </c>
      <c r="R33" s="5">
        <f>89436.28</f>
        <v>89436.28</v>
      </c>
      <c r="S33" s="4"/>
      <c r="T33" s="5">
        <f>47947</f>
        <v>47947</v>
      </c>
      <c r="U33" s="4"/>
      <c r="V33" s="5">
        <f>136876.84</f>
        <v>136876.84</v>
      </c>
      <c r="W33" s="5">
        <f>91737.03</f>
        <v>91737.03</v>
      </c>
      <c r="X33" s="5">
        <f>79517.32</f>
        <v>79517.320000000007</v>
      </c>
      <c r="Y33" s="5">
        <f>112765.18</f>
        <v>112765.18</v>
      </c>
      <c r="Z33" s="5">
        <f>2410.4</f>
        <v>2410.4</v>
      </c>
      <c r="AA33" s="5">
        <f>1478.6</f>
        <v>1478.6</v>
      </c>
      <c r="AB33" s="5">
        <f>25404.42</f>
        <v>25404.42</v>
      </c>
      <c r="AC33" s="4"/>
      <c r="AD33" s="5">
        <f t="shared" si="6"/>
        <v>1597381.59</v>
      </c>
    </row>
    <row r="34" spans="1:30" x14ac:dyDescent="0.25">
      <c r="A34" s="3" t="s">
        <v>57</v>
      </c>
      <c r="B34" s="5">
        <f>109300.63</f>
        <v>109300.63</v>
      </c>
      <c r="C34" s="4"/>
      <c r="D34" s="4"/>
      <c r="E34" s="5">
        <f>19218.8</f>
        <v>19218.8</v>
      </c>
      <c r="F34" s="5">
        <f>71350.6</f>
        <v>71350.600000000006</v>
      </c>
      <c r="G34" s="4"/>
      <c r="H34" s="4"/>
      <c r="I34" s="4"/>
      <c r="J34" s="4"/>
      <c r="K34" s="4"/>
      <c r="L34" s="5">
        <f>28470.5</f>
        <v>28470.5</v>
      </c>
      <c r="M34" s="4"/>
      <c r="N34" s="4"/>
      <c r="O34" s="4"/>
      <c r="P34" s="5">
        <f>15886.7</f>
        <v>15886.7</v>
      </c>
      <c r="Q34" s="4"/>
      <c r="R34" s="5">
        <f>5105.1</f>
        <v>5105.1000000000004</v>
      </c>
      <c r="S34" s="5">
        <f>203024.5</f>
        <v>203024.5</v>
      </c>
      <c r="T34" s="4"/>
      <c r="U34" s="5">
        <f>25000</f>
        <v>25000</v>
      </c>
      <c r="V34" s="5">
        <f>14322.48</f>
        <v>14322.48</v>
      </c>
      <c r="W34" s="5">
        <f>9548.28</f>
        <v>9548.2800000000007</v>
      </c>
      <c r="X34" s="4"/>
      <c r="Y34" s="4"/>
      <c r="Z34" s="4"/>
      <c r="AA34" s="4"/>
      <c r="AB34" s="4"/>
      <c r="AC34" s="4"/>
      <c r="AD34" s="5">
        <f t="shared" si="6"/>
        <v>501227.59000000008</v>
      </c>
    </row>
    <row r="35" spans="1:30" x14ac:dyDescent="0.25">
      <c r="A35" s="3" t="s">
        <v>58</v>
      </c>
      <c r="B35" s="6">
        <f t="shared" ref="B35:AC35" si="7">((B32)+(B33))+(B34)</f>
        <v>222126.31</v>
      </c>
      <c r="C35" s="6">
        <f t="shared" si="7"/>
        <v>0</v>
      </c>
      <c r="D35" s="6">
        <f t="shared" si="7"/>
        <v>144287.24</v>
      </c>
      <c r="E35" s="6">
        <f t="shared" si="7"/>
        <v>19218.8</v>
      </c>
      <c r="F35" s="6">
        <f t="shared" si="7"/>
        <v>386259.72</v>
      </c>
      <c r="G35" s="6">
        <f t="shared" si="7"/>
        <v>4471</v>
      </c>
      <c r="H35" s="6">
        <f t="shared" si="7"/>
        <v>31344.799999999999</v>
      </c>
      <c r="I35" s="6">
        <f t="shared" si="7"/>
        <v>0</v>
      </c>
      <c r="J35" s="6">
        <f t="shared" si="7"/>
        <v>46366.720000000001</v>
      </c>
      <c r="K35" s="6">
        <f t="shared" si="7"/>
        <v>41575.699999999997</v>
      </c>
      <c r="L35" s="6">
        <f t="shared" si="7"/>
        <v>28470.5</v>
      </c>
      <c r="M35" s="6">
        <f t="shared" si="7"/>
        <v>1203.93</v>
      </c>
      <c r="N35" s="6">
        <f t="shared" si="7"/>
        <v>0</v>
      </c>
      <c r="O35" s="6">
        <f t="shared" si="7"/>
        <v>22279.4</v>
      </c>
      <c r="P35" s="6">
        <f t="shared" si="7"/>
        <v>254156.63</v>
      </c>
      <c r="Q35" s="6">
        <f t="shared" si="7"/>
        <v>52275</v>
      </c>
      <c r="R35" s="6">
        <f t="shared" si="7"/>
        <v>94541.38</v>
      </c>
      <c r="S35" s="6">
        <f t="shared" si="7"/>
        <v>203024.5</v>
      </c>
      <c r="T35" s="6">
        <f t="shared" si="7"/>
        <v>47947</v>
      </c>
      <c r="U35" s="6">
        <f t="shared" si="7"/>
        <v>25000</v>
      </c>
      <c r="V35" s="6">
        <f t="shared" si="7"/>
        <v>151199.32</v>
      </c>
      <c r="W35" s="6">
        <f t="shared" si="7"/>
        <v>101285.31</v>
      </c>
      <c r="X35" s="6">
        <f t="shared" si="7"/>
        <v>79517.320000000007</v>
      </c>
      <c r="Y35" s="6">
        <f t="shared" si="7"/>
        <v>112765.18</v>
      </c>
      <c r="Z35" s="6">
        <f t="shared" si="7"/>
        <v>2410.4</v>
      </c>
      <c r="AA35" s="6">
        <f t="shared" si="7"/>
        <v>1478.6</v>
      </c>
      <c r="AB35" s="6">
        <f t="shared" si="7"/>
        <v>25404.42</v>
      </c>
      <c r="AC35" s="6">
        <f t="shared" si="7"/>
        <v>0</v>
      </c>
      <c r="AD35" s="6">
        <f t="shared" si="6"/>
        <v>2098609.1800000002</v>
      </c>
    </row>
    <row r="36" spans="1:30" x14ac:dyDescent="0.25">
      <c r="A36" s="3" t="s">
        <v>59</v>
      </c>
      <c r="B36" s="5">
        <f>0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>
        <f>0</f>
        <v>0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5">
        <f t="shared" si="6"/>
        <v>0</v>
      </c>
    </row>
    <row r="37" spans="1:30" x14ac:dyDescent="0.25">
      <c r="A37" s="3" t="s">
        <v>60</v>
      </c>
      <c r="B37" s="4"/>
      <c r="C37" s="4"/>
      <c r="D37" s="5">
        <f>20.45</f>
        <v>20.45</v>
      </c>
      <c r="E37" s="4"/>
      <c r="F37" s="4"/>
      <c r="G37" s="5">
        <f>0.69</f>
        <v>0.69</v>
      </c>
      <c r="H37" s="5">
        <f>4.31</f>
        <v>4.3099999999999996</v>
      </c>
      <c r="I37" s="4"/>
      <c r="J37" s="5">
        <f>5.35</f>
        <v>5.35</v>
      </c>
      <c r="K37" s="4"/>
      <c r="L37" s="4"/>
      <c r="M37" s="5">
        <f>0.19</f>
        <v>0.19</v>
      </c>
      <c r="N37" s="4"/>
      <c r="O37" s="4"/>
      <c r="P37" s="4"/>
      <c r="Q37" s="4"/>
      <c r="R37" s="5">
        <f>2.48</f>
        <v>2.48</v>
      </c>
      <c r="S37" s="4"/>
      <c r="T37" s="5">
        <f>10</f>
        <v>10</v>
      </c>
      <c r="U37" s="4"/>
      <c r="V37" s="5">
        <f>19.71</f>
        <v>19.71</v>
      </c>
      <c r="W37" s="5">
        <f>14.55</f>
        <v>14.55</v>
      </c>
      <c r="X37" s="5">
        <f>6.95</f>
        <v>6.95</v>
      </c>
      <c r="Y37" s="5">
        <f>11.65</f>
        <v>11.65</v>
      </c>
      <c r="Z37" s="5">
        <f>1</f>
        <v>1</v>
      </c>
      <c r="AA37" s="5">
        <f>0</f>
        <v>0</v>
      </c>
      <c r="AB37" s="5">
        <f>3.72</f>
        <v>3.72</v>
      </c>
      <c r="AC37" s="4"/>
      <c r="AD37" s="5">
        <f t="shared" si="6"/>
        <v>101.05000000000001</v>
      </c>
    </row>
    <row r="38" spans="1:30" x14ac:dyDescent="0.25">
      <c r="A38" s="3" t="s">
        <v>61</v>
      </c>
      <c r="B38" s="5">
        <f>6239.14</f>
        <v>6239.14</v>
      </c>
      <c r="C38" s="4"/>
      <c r="D38" s="4"/>
      <c r="E38" s="5">
        <f>1074.5</f>
        <v>1074.5</v>
      </c>
      <c r="F38" s="5">
        <f>4023.27</f>
        <v>4023.27</v>
      </c>
      <c r="G38" s="4"/>
      <c r="H38" s="4"/>
      <c r="I38" s="4"/>
      <c r="J38" s="4"/>
      <c r="K38" s="4"/>
      <c r="L38" s="5">
        <f>1653.9</f>
        <v>1653.9</v>
      </c>
      <c r="M38" s="4"/>
      <c r="N38" s="4"/>
      <c r="O38" s="4"/>
      <c r="P38" s="5">
        <f>938.21</f>
        <v>938.21</v>
      </c>
      <c r="Q38" s="4"/>
      <c r="R38" s="5">
        <f>316.51</f>
        <v>316.51</v>
      </c>
      <c r="S38" s="5">
        <f>12133.33</f>
        <v>12133.33</v>
      </c>
      <c r="T38" s="4"/>
      <c r="U38" s="5">
        <f>1513.28</f>
        <v>1513.28</v>
      </c>
      <c r="V38" s="5">
        <f>879.92</f>
        <v>879.92</v>
      </c>
      <c r="W38" s="5">
        <f>586.57</f>
        <v>586.57000000000005</v>
      </c>
      <c r="X38" s="4"/>
      <c r="Y38" s="4"/>
      <c r="Z38" s="4"/>
      <c r="AA38" s="4"/>
      <c r="AB38" s="4"/>
      <c r="AC38" s="4"/>
      <c r="AD38" s="5">
        <f t="shared" si="6"/>
        <v>29358.629999999997</v>
      </c>
    </row>
    <row r="39" spans="1:30" x14ac:dyDescent="0.25">
      <c r="A39" s="3" t="s">
        <v>62</v>
      </c>
      <c r="B39" s="5">
        <f>3055.88</f>
        <v>3055.88</v>
      </c>
      <c r="C39" s="4"/>
      <c r="D39" s="5">
        <f>2037.34</f>
        <v>2037.34</v>
      </c>
      <c r="E39" s="5">
        <f>251.28</f>
        <v>251.28</v>
      </c>
      <c r="F39" s="5">
        <f>5277.52</f>
        <v>5277.52</v>
      </c>
      <c r="G39" s="5">
        <f>71.66</f>
        <v>71.66</v>
      </c>
      <c r="H39" s="5">
        <f>431.33</f>
        <v>431.33</v>
      </c>
      <c r="I39" s="4"/>
      <c r="J39" s="5">
        <f>339.1</f>
        <v>339.1</v>
      </c>
      <c r="K39" s="5">
        <f>544.99</f>
        <v>544.99</v>
      </c>
      <c r="L39" s="5">
        <f>386.84</f>
        <v>386.84</v>
      </c>
      <c r="M39" s="5">
        <f>17.46</f>
        <v>17.46</v>
      </c>
      <c r="N39" s="4"/>
      <c r="O39" s="5">
        <f>319.96</f>
        <v>319.95999999999998</v>
      </c>
      <c r="P39" s="5">
        <f>3566.27</f>
        <v>3566.27</v>
      </c>
      <c r="Q39" s="5">
        <f>311.97</f>
        <v>311.97000000000003</v>
      </c>
      <c r="R39" s="5">
        <f>1336.3</f>
        <v>1336.3</v>
      </c>
      <c r="S39" s="5">
        <f>2837.75</f>
        <v>2837.75</v>
      </c>
      <c r="T39" s="5">
        <f>678.6</f>
        <v>678.6</v>
      </c>
      <c r="U39" s="5">
        <f>353.93</f>
        <v>353.93</v>
      </c>
      <c r="V39" s="5">
        <f>2109.15</f>
        <v>2109.15</v>
      </c>
      <c r="W39" s="5">
        <f>1408.22</f>
        <v>1408.22</v>
      </c>
      <c r="X39" s="5">
        <f>958.44</f>
        <v>958.44</v>
      </c>
      <c r="Y39" s="5">
        <f>1586.3</f>
        <v>1586.3</v>
      </c>
      <c r="Z39" s="5">
        <f>32.96</f>
        <v>32.96</v>
      </c>
      <c r="AA39" s="5">
        <f>20.1</f>
        <v>20.100000000000001</v>
      </c>
      <c r="AB39" s="5">
        <f>343.86</f>
        <v>343.86</v>
      </c>
      <c r="AC39" s="4"/>
      <c r="AD39" s="5">
        <f t="shared" si="6"/>
        <v>28277.209999999995</v>
      </c>
    </row>
    <row r="40" spans="1:30" x14ac:dyDescent="0.25">
      <c r="A40" s="3" t="s">
        <v>63</v>
      </c>
      <c r="B40" s="5">
        <f>5753.8</f>
        <v>5753.8</v>
      </c>
      <c r="C40" s="4"/>
      <c r="D40" s="5">
        <f>23809.44</f>
        <v>23809.439999999999</v>
      </c>
      <c r="E40" s="4"/>
      <c r="F40" s="5">
        <f>9447.15</f>
        <v>9447.15</v>
      </c>
      <c r="G40" s="5">
        <f>845.42</f>
        <v>845.42</v>
      </c>
      <c r="H40" s="5">
        <f>5280.88</f>
        <v>5280.88</v>
      </c>
      <c r="I40" s="4"/>
      <c r="J40" s="5">
        <f>3863.2</f>
        <v>3863.2</v>
      </c>
      <c r="K40" s="5">
        <f>1713.44</f>
        <v>1713.44</v>
      </c>
      <c r="L40" s="4"/>
      <c r="M40" s="5">
        <f>193.89</f>
        <v>193.89</v>
      </c>
      <c r="N40" s="4"/>
      <c r="O40" s="5">
        <f>668.4</f>
        <v>668.4</v>
      </c>
      <c r="P40" s="5">
        <f>7148.11</f>
        <v>7148.11</v>
      </c>
      <c r="Q40" s="5">
        <f>668.3</f>
        <v>668.3</v>
      </c>
      <c r="R40" s="5">
        <f>12456.45</f>
        <v>12456.45</v>
      </c>
      <c r="S40" s="4"/>
      <c r="T40" s="5">
        <f>7955.8</f>
        <v>7955.8</v>
      </c>
      <c r="U40" s="4"/>
      <c r="V40" s="5">
        <f>22159.36</f>
        <v>22159.360000000001</v>
      </c>
      <c r="W40" s="5">
        <f>14851.15</f>
        <v>14851.15</v>
      </c>
      <c r="X40" s="5">
        <f>9915.9</f>
        <v>9915.9</v>
      </c>
      <c r="Y40" s="5">
        <f>18238.94</f>
        <v>18238.939999999999</v>
      </c>
      <c r="Z40" s="5">
        <f>119.4</f>
        <v>119.4</v>
      </c>
      <c r="AA40" s="5">
        <f>79.56</f>
        <v>79.56</v>
      </c>
      <c r="AB40" s="5">
        <f>3657.48</f>
        <v>3657.48</v>
      </c>
      <c r="AC40" s="4"/>
      <c r="AD40" s="5">
        <f t="shared" si="6"/>
        <v>148826.06999999998</v>
      </c>
    </row>
    <row r="41" spans="1:30" x14ac:dyDescent="0.25">
      <c r="A41" s="3" t="s">
        <v>64</v>
      </c>
      <c r="B41" s="5">
        <f>28941.28</f>
        <v>28941.279999999999</v>
      </c>
      <c r="C41" s="4"/>
      <c r="D41" s="4"/>
      <c r="E41" s="4"/>
      <c r="F41" s="5">
        <f>18379.66</f>
        <v>18379.66</v>
      </c>
      <c r="G41" s="4"/>
      <c r="H41" s="4"/>
      <c r="I41" s="4"/>
      <c r="J41" s="4"/>
      <c r="K41" s="4"/>
      <c r="L41" s="5">
        <f>7627.2</f>
        <v>7627.2</v>
      </c>
      <c r="M41" s="4"/>
      <c r="N41" s="4"/>
      <c r="O41" s="4"/>
      <c r="P41" s="5">
        <f>4256</f>
        <v>4256</v>
      </c>
      <c r="Q41" s="4"/>
      <c r="R41" s="4"/>
      <c r="S41" s="5">
        <f>51412.51</f>
        <v>51412.51</v>
      </c>
      <c r="T41" s="4"/>
      <c r="U41" s="5">
        <f>6697.5</f>
        <v>6697.5</v>
      </c>
      <c r="V41" s="5">
        <f>2395.32</f>
        <v>2395.3200000000002</v>
      </c>
      <c r="W41" s="5">
        <f>1596.84</f>
        <v>1596.84</v>
      </c>
      <c r="X41" s="4"/>
      <c r="Y41" s="4"/>
      <c r="Z41" s="4"/>
      <c r="AA41" s="4"/>
      <c r="AB41" s="4"/>
      <c r="AC41" s="4"/>
      <c r="AD41" s="5">
        <f t="shared" si="6"/>
        <v>121306.31</v>
      </c>
    </row>
    <row r="42" spans="1:30" x14ac:dyDescent="0.25">
      <c r="A42" s="3" t="s">
        <v>65</v>
      </c>
      <c r="B42" s="4"/>
      <c r="C42" s="4"/>
      <c r="D42" s="5">
        <f>15696.9</f>
        <v>15696.9</v>
      </c>
      <c r="E42" s="4"/>
      <c r="F42" s="4"/>
      <c r="G42" s="5">
        <f>845.43</f>
        <v>845.43</v>
      </c>
      <c r="H42" s="5">
        <f>5280.87</f>
        <v>5280.87</v>
      </c>
      <c r="I42" s="4"/>
      <c r="J42" s="5">
        <f>1147.95</f>
        <v>1147.95</v>
      </c>
      <c r="K42" s="4"/>
      <c r="L42" s="4"/>
      <c r="M42" s="5">
        <f>212.78</f>
        <v>212.78</v>
      </c>
      <c r="N42" s="4"/>
      <c r="O42" s="4"/>
      <c r="P42" s="4"/>
      <c r="Q42" s="4"/>
      <c r="R42" s="5">
        <f>2629.14</f>
        <v>2629.14</v>
      </c>
      <c r="S42" s="5">
        <f>3088.64</f>
        <v>3088.64</v>
      </c>
      <c r="T42" s="5">
        <f>6899.3</f>
        <v>6899.3</v>
      </c>
      <c r="U42" s="4"/>
      <c r="V42" s="5">
        <f>13996.75</f>
        <v>13996.75</v>
      </c>
      <c r="W42" s="5">
        <f>10616.14</f>
        <v>10616.14</v>
      </c>
      <c r="X42" s="5">
        <f>5713.7</f>
        <v>5713.7</v>
      </c>
      <c r="Y42" s="5">
        <f>8489.16</f>
        <v>8489.16</v>
      </c>
      <c r="Z42" s="5">
        <f>1225.02</f>
        <v>1225.02</v>
      </c>
      <c r="AA42" s="5">
        <f>0</f>
        <v>0</v>
      </c>
      <c r="AB42" s="5">
        <f>3943.71</f>
        <v>3943.71</v>
      </c>
      <c r="AC42" s="4"/>
      <c r="AD42" s="5">
        <f t="shared" si="6"/>
        <v>79785.490000000005</v>
      </c>
    </row>
    <row r="43" spans="1:30" x14ac:dyDescent="0.25">
      <c r="A43" s="3" t="s">
        <v>66</v>
      </c>
      <c r="B43" s="5">
        <f>1318.07</f>
        <v>1318.07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5">
        <f t="shared" si="6"/>
        <v>1318.07</v>
      </c>
    </row>
    <row r="44" spans="1:30" x14ac:dyDescent="0.25">
      <c r="A44" s="3" t="s">
        <v>67</v>
      </c>
      <c r="B44" s="5">
        <f>4820</f>
        <v>4820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">
        <f>21.25</f>
        <v>21.25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5">
        <f t="shared" si="6"/>
        <v>4841.25</v>
      </c>
    </row>
    <row r="45" spans="1:30" x14ac:dyDescent="0.25">
      <c r="A45" s="3" t="s">
        <v>68</v>
      </c>
      <c r="B45" s="4"/>
      <c r="C45" s="4"/>
      <c r="D45" s="5">
        <f>2885.77</f>
        <v>2885.77</v>
      </c>
      <c r="E45" s="4"/>
      <c r="F45" s="5">
        <f>5000</f>
        <v>5000</v>
      </c>
      <c r="G45" s="4"/>
      <c r="H45" s="5">
        <f>626.88</f>
        <v>626.88</v>
      </c>
      <c r="I45" s="4"/>
      <c r="J45" s="4"/>
      <c r="K45" s="4"/>
      <c r="L45" s="4"/>
      <c r="M45" s="4"/>
      <c r="N45" s="4"/>
      <c r="O45" s="5">
        <f>222.8</f>
        <v>222.8</v>
      </c>
      <c r="P45" s="5">
        <f>5019.6</f>
        <v>5019.6000000000004</v>
      </c>
      <c r="Q45" s="5">
        <f>445.5</f>
        <v>445.5</v>
      </c>
      <c r="R45" s="5">
        <f>338.72</f>
        <v>338.72</v>
      </c>
      <c r="S45" s="4"/>
      <c r="T45" s="5">
        <f>958.95</f>
        <v>958.95</v>
      </c>
      <c r="U45" s="4"/>
      <c r="V45" s="4"/>
      <c r="W45" s="4"/>
      <c r="X45" s="5">
        <f>1590.34</f>
        <v>1590.34</v>
      </c>
      <c r="Y45" s="5">
        <f>2255.32</f>
        <v>2255.3200000000002</v>
      </c>
      <c r="Z45" s="4"/>
      <c r="AA45" s="4"/>
      <c r="AB45" s="4"/>
      <c r="AC45" s="4"/>
      <c r="AD45" s="5">
        <f t="shared" si="6"/>
        <v>19343.879999999997</v>
      </c>
    </row>
    <row r="46" spans="1:30" x14ac:dyDescent="0.25">
      <c r="A46" s="3" t="s">
        <v>69</v>
      </c>
      <c r="B46" s="4"/>
      <c r="C46" s="4"/>
      <c r="D46" s="5">
        <f>163.6</f>
        <v>163.6</v>
      </c>
      <c r="E46" s="4"/>
      <c r="F46" s="4"/>
      <c r="G46" s="5">
        <f>5.52</f>
        <v>5.52</v>
      </c>
      <c r="H46" s="5">
        <f>34.48</f>
        <v>34.479999999999997</v>
      </c>
      <c r="I46" s="4"/>
      <c r="J46" s="5">
        <f>42.8</f>
        <v>42.8</v>
      </c>
      <c r="K46" s="4"/>
      <c r="L46" s="4"/>
      <c r="M46" s="5">
        <f>1.52</f>
        <v>1.52</v>
      </c>
      <c r="N46" s="4"/>
      <c r="O46" s="4"/>
      <c r="P46" s="4"/>
      <c r="Q46" s="4"/>
      <c r="R46" s="5">
        <f>19.84</f>
        <v>19.84</v>
      </c>
      <c r="S46" s="4"/>
      <c r="T46" s="5">
        <f>80</f>
        <v>80</v>
      </c>
      <c r="U46" s="4"/>
      <c r="V46" s="5">
        <f>157.68</f>
        <v>157.68</v>
      </c>
      <c r="W46" s="5">
        <f>116.4</f>
        <v>116.4</v>
      </c>
      <c r="X46" s="5">
        <f>55.6</f>
        <v>55.6</v>
      </c>
      <c r="Y46" s="5">
        <f>93.2</f>
        <v>93.2</v>
      </c>
      <c r="Z46" s="5">
        <f>8</f>
        <v>8</v>
      </c>
      <c r="AA46" s="5">
        <f>0</f>
        <v>0</v>
      </c>
      <c r="AB46" s="5">
        <f>29.76</f>
        <v>29.76</v>
      </c>
      <c r="AC46" s="4"/>
      <c r="AD46" s="5">
        <f t="shared" si="6"/>
        <v>808.40000000000009</v>
      </c>
    </row>
    <row r="47" spans="1:30" x14ac:dyDescent="0.25">
      <c r="A47" s="3" t="s">
        <v>70</v>
      </c>
      <c r="B47" s="6">
        <f t="shared" ref="B47:AC47" si="8">((((((((((B36)+(B37))+(B38))+(B39))+(B40))+(B41))+(B42))+(B43))+(B44))+(B45))+(B46)</f>
        <v>50128.17</v>
      </c>
      <c r="C47" s="6">
        <f t="shared" si="8"/>
        <v>0</v>
      </c>
      <c r="D47" s="6">
        <f t="shared" si="8"/>
        <v>44613.499999999993</v>
      </c>
      <c r="E47" s="6">
        <f t="shared" si="8"/>
        <v>1325.78</v>
      </c>
      <c r="F47" s="6">
        <f t="shared" si="8"/>
        <v>42127.600000000006</v>
      </c>
      <c r="G47" s="6">
        <f t="shared" si="8"/>
        <v>1768.7199999999998</v>
      </c>
      <c r="H47" s="6">
        <f t="shared" si="8"/>
        <v>11658.749999999998</v>
      </c>
      <c r="I47" s="6">
        <f t="shared" si="8"/>
        <v>0</v>
      </c>
      <c r="J47" s="6">
        <f t="shared" si="8"/>
        <v>5398.4</v>
      </c>
      <c r="K47" s="6">
        <f t="shared" si="8"/>
        <v>2258.4300000000003</v>
      </c>
      <c r="L47" s="6">
        <f t="shared" si="8"/>
        <v>9667.94</v>
      </c>
      <c r="M47" s="6">
        <f t="shared" si="8"/>
        <v>425.84</v>
      </c>
      <c r="N47" s="6">
        <f t="shared" si="8"/>
        <v>0</v>
      </c>
      <c r="O47" s="6">
        <f t="shared" si="8"/>
        <v>1211.1599999999999</v>
      </c>
      <c r="P47" s="6">
        <f t="shared" si="8"/>
        <v>20928.190000000002</v>
      </c>
      <c r="Q47" s="6">
        <f t="shared" si="8"/>
        <v>1425.77</v>
      </c>
      <c r="R47" s="6">
        <f t="shared" si="8"/>
        <v>17120.690000000002</v>
      </c>
      <c r="S47" s="6">
        <f t="shared" si="8"/>
        <v>69472.23</v>
      </c>
      <c r="T47" s="6">
        <f t="shared" si="8"/>
        <v>16582.650000000001</v>
      </c>
      <c r="U47" s="6">
        <f t="shared" si="8"/>
        <v>8564.7099999999991</v>
      </c>
      <c r="V47" s="6">
        <f t="shared" si="8"/>
        <v>41717.89</v>
      </c>
      <c r="W47" s="6">
        <f t="shared" si="8"/>
        <v>29189.87</v>
      </c>
      <c r="X47" s="6">
        <f t="shared" si="8"/>
        <v>18240.929999999997</v>
      </c>
      <c r="Y47" s="6">
        <f t="shared" si="8"/>
        <v>30674.57</v>
      </c>
      <c r="Z47" s="6">
        <f t="shared" si="8"/>
        <v>1386.38</v>
      </c>
      <c r="AA47" s="6">
        <f t="shared" si="8"/>
        <v>99.66</v>
      </c>
      <c r="AB47" s="6">
        <f t="shared" si="8"/>
        <v>7978.5300000000007</v>
      </c>
      <c r="AC47" s="6">
        <f t="shared" si="8"/>
        <v>0</v>
      </c>
      <c r="AD47" s="6">
        <f t="shared" si="6"/>
        <v>433966.36000000004</v>
      </c>
    </row>
    <row r="48" spans="1:30" x14ac:dyDescent="0.25">
      <c r="A48" s="3" t="s">
        <v>71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5">
        <f t="shared" si="6"/>
        <v>0</v>
      </c>
    </row>
    <row r="49" spans="1:30" x14ac:dyDescent="0.25">
      <c r="A49" s="3" t="s">
        <v>72</v>
      </c>
      <c r="B49" s="5">
        <f>12028.8</f>
        <v>12028.8</v>
      </c>
      <c r="C49" s="4"/>
      <c r="D49" s="5">
        <f>10</f>
        <v>10</v>
      </c>
      <c r="E49" s="4"/>
      <c r="F49" s="5">
        <f>2642.5</f>
        <v>2642.5</v>
      </c>
      <c r="G49" s="4"/>
      <c r="H49" s="5">
        <f>51.25</f>
        <v>51.25</v>
      </c>
      <c r="I49" s="4"/>
      <c r="J49" s="4"/>
      <c r="K49" s="5">
        <f>153.7</f>
        <v>153.69999999999999</v>
      </c>
      <c r="L49" s="4"/>
      <c r="M49" s="4"/>
      <c r="N49" s="5">
        <f>58330</f>
        <v>58330</v>
      </c>
      <c r="O49" s="5">
        <f>61.25</f>
        <v>61.25</v>
      </c>
      <c r="P49" s="5">
        <f>61.25</f>
        <v>61.25</v>
      </c>
      <c r="Q49" s="5">
        <f>575</f>
        <v>575</v>
      </c>
      <c r="R49" s="4"/>
      <c r="S49" s="5">
        <f>225</f>
        <v>225</v>
      </c>
      <c r="T49" s="4"/>
      <c r="U49" s="4"/>
      <c r="V49" s="5">
        <f>8670.9</f>
        <v>8670.9</v>
      </c>
      <c r="W49" s="5">
        <f>608.51</f>
        <v>608.51</v>
      </c>
      <c r="X49" s="5">
        <f>61.25</f>
        <v>61.25</v>
      </c>
      <c r="Y49" s="5">
        <f>122.5</f>
        <v>122.5</v>
      </c>
      <c r="Z49" s="4"/>
      <c r="AA49" s="4"/>
      <c r="AB49" s="4"/>
      <c r="AC49" s="4"/>
      <c r="AD49" s="5">
        <f t="shared" si="6"/>
        <v>83601.909999999989</v>
      </c>
    </row>
    <row r="50" spans="1:30" x14ac:dyDescent="0.25">
      <c r="A50" s="3" t="s">
        <v>73</v>
      </c>
      <c r="B50" s="5">
        <f>17600</f>
        <v>17600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>
        <f>0</f>
        <v>0</v>
      </c>
      <c r="AD50" s="5">
        <f t="shared" si="6"/>
        <v>17600</v>
      </c>
    </row>
    <row r="51" spans="1:30" x14ac:dyDescent="0.25">
      <c r="A51" s="3" t="s">
        <v>74</v>
      </c>
      <c r="B51" s="5">
        <f>3617.23</f>
        <v>3617.23</v>
      </c>
      <c r="C51" s="4"/>
      <c r="D51" s="4"/>
      <c r="E51" s="4"/>
      <c r="F51" s="5">
        <f>2721.15</f>
        <v>2721.15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5">
        <f t="shared" si="6"/>
        <v>6338.38</v>
      </c>
    </row>
    <row r="52" spans="1:30" x14ac:dyDescent="0.25">
      <c r="A52" s="3" t="s">
        <v>75</v>
      </c>
      <c r="B52" s="5">
        <f>3589.5</f>
        <v>3589.5</v>
      </c>
      <c r="C52" s="4"/>
      <c r="D52" s="5">
        <f>606.6</f>
        <v>606.6</v>
      </c>
      <c r="E52" s="4"/>
      <c r="F52" s="5">
        <f>5560.5</f>
        <v>5560.5</v>
      </c>
      <c r="G52" s="4"/>
      <c r="H52" s="5">
        <f>101.1</f>
        <v>101.1</v>
      </c>
      <c r="I52" s="4"/>
      <c r="J52" s="5">
        <f>101.1</f>
        <v>101.1</v>
      </c>
      <c r="K52" s="5">
        <f>202.2</f>
        <v>202.2</v>
      </c>
      <c r="L52" s="4"/>
      <c r="M52" s="4"/>
      <c r="N52" s="4"/>
      <c r="O52" s="5">
        <f>101.1</f>
        <v>101.1</v>
      </c>
      <c r="P52" s="4"/>
      <c r="Q52" s="4"/>
      <c r="R52" s="5">
        <f>580.44</f>
        <v>580.44000000000005</v>
      </c>
      <c r="S52" s="4"/>
      <c r="T52" s="4"/>
      <c r="U52" s="4"/>
      <c r="V52" s="5">
        <f>727.92</f>
        <v>727.92</v>
      </c>
      <c r="W52" s="5">
        <f>181.98</f>
        <v>181.98</v>
      </c>
      <c r="X52" s="5">
        <f>202.2</f>
        <v>202.2</v>
      </c>
      <c r="Y52" s="5">
        <f>303.3</f>
        <v>303.3</v>
      </c>
      <c r="Z52" s="4"/>
      <c r="AA52" s="4"/>
      <c r="AB52" s="5">
        <f>60.66</f>
        <v>60.66</v>
      </c>
      <c r="AC52" s="4"/>
      <c r="AD52" s="5">
        <f t="shared" si="6"/>
        <v>12318.600000000002</v>
      </c>
    </row>
    <row r="53" spans="1:30" x14ac:dyDescent="0.25">
      <c r="A53" s="3" t="s">
        <v>76</v>
      </c>
      <c r="B53" s="6">
        <f t="shared" ref="B53:AC53" si="9">((((B48)+(B49))+(B50))+(B51))+(B52)</f>
        <v>36835.53</v>
      </c>
      <c r="C53" s="6">
        <f t="shared" si="9"/>
        <v>0</v>
      </c>
      <c r="D53" s="6">
        <f t="shared" si="9"/>
        <v>616.6</v>
      </c>
      <c r="E53" s="6">
        <f t="shared" si="9"/>
        <v>0</v>
      </c>
      <c r="F53" s="6">
        <f t="shared" si="9"/>
        <v>10924.15</v>
      </c>
      <c r="G53" s="6">
        <f t="shared" si="9"/>
        <v>0</v>
      </c>
      <c r="H53" s="6">
        <f t="shared" si="9"/>
        <v>152.35</v>
      </c>
      <c r="I53" s="6">
        <f t="shared" si="9"/>
        <v>0</v>
      </c>
      <c r="J53" s="6">
        <f t="shared" si="9"/>
        <v>101.1</v>
      </c>
      <c r="K53" s="6">
        <f t="shared" si="9"/>
        <v>355.9</v>
      </c>
      <c r="L53" s="6">
        <f t="shared" si="9"/>
        <v>0</v>
      </c>
      <c r="M53" s="6">
        <f t="shared" si="9"/>
        <v>0</v>
      </c>
      <c r="N53" s="6">
        <f t="shared" si="9"/>
        <v>58330</v>
      </c>
      <c r="O53" s="6">
        <f t="shared" si="9"/>
        <v>162.35</v>
      </c>
      <c r="P53" s="6">
        <f t="shared" si="9"/>
        <v>61.25</v>
      </c>
      <c r="Q53" s="6">
        <f t="shared" si="9"/>
        <v>575</v>
      </c>
      <c r="R53" s="6">
        <f t="shared" si="9"/>
        <v>580.44000000000005</v>
      </c>
      <c r="S53" s="6">
        <f t="shared" si="9"/>
        <v>225</v>
      </c>
      <c r="T53" s="6">
        <f t="shared" si="9"/>
        <v>0</v>
      </c>
      <c r="U53" s="6">
        <f t="shared" si="9"/>
        <v>0</v>
      </c>
      <c r="V53" s="6">
        <f t="shared" si="9"/>
        <v>9398.82</v>
      </c>
      <c r="W53" s="6">
        <f t="shared" si="9"/>
        <v>790.49</v>
      </c>
      <c r="X53" s="6">
        <f t="shared" si="9"/>
        <v>263.45</v>
      </c>
      <c r="Y53" s="6">
        <f t="shared" si="9"/>
        <v>425.8</v>
      </c>
      <c r="Z53" s="6">
        <f t="shared" si="9"/>
        <v>0</v>
      </c>
      <c r="AA53" s="6">
        <f t="shared" si="9"/>
        <v>0</v>
      </c>
      <c r="AB53" s="6">
        <f t="shared" si="9"/>
        <v>60.66</v>
      </c>
      <c r="AC53" s="6">
        <f t="shared" si="9"/>
        <v>0</v>
      </c>
      <c r="AD53" s="6">
        <f t="shared" si="6"/>
        <v>119858.89000000003</v>
      </c>
    </row>
    <row r="54" spans="1:30" x14ac:dyDescent="0.25">
      <c r="A54" s="3" t="s">
        <v>77</v>
      </c>
      <c r="B54" s="5">
        <f>24087.39</f>
        <v>24087.39</v>
      </c>
      <c r="C54" s="4"/>
      <c r="D54" s="5">
        <f>500</f>
        <v>500</v>
      </c>
      <c r="E54" s="4"/>
      <c r="F54" s="5">
        <f>2299.87</f>
        <v>2299.87</v>
      </c>
      <c r="G54" s="4"/>
      <c r="H54" s="5">
        <f>80</f>
        <v>80</v>
      </c>
      <c r="I54" s="4"/>
      <c r="J54" s="5">
        <f>23312.1</f>
        <v>23312.1</v>
      </c>
      <c r="K54" s="5">
        <f>80</f>
        <v>80</v>
      </c>
      <c r="L54" s="4"/>
      <c r="M54" s="4"/>
      <c r="N54" s="4"/>
      <c r="O54" s="4"/>
      <c r="P54" s="4"/>
      <c r="Q54" s="4"/>
      <c r="R54" s="5">
        <f>48040</f>
        <v>48040</v>
      </c>
      <c r="S54" s="4"/>
      <c r="T54" s="4"/>
      <c r="U54" s="4"/>
      <c r="V54" s="4"/>
      <c r="W54" s="4"/>
      <c r="X54" s="5">
        <f>80</f>
        <v>80</v>
      </c>
      <c r="Y54" s="5">
        <f>5007.23</f>
        <v>5007.2299999999996</v>
      </c>
      <c r="Z54" s="4"/>
      <c r="AA54" s="4"/>
      <c r="AB54" s="5">
        <f>500</f>
        <v>500</v>
      </c>
      <c r="AC54" s="5">
        <f>0</f>
        <v>0</v>
      </c>
      <c r="AD54" s="5">
        <f t="shared" si="6"/>
        <v>103986.59</v>
      </c>
    </row>
    <row r="55" spans="1:30" x14ac:dyDescent="0.25">
      <c r="A55" s="3" t="s">
        <v>78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5">
        <f t="shared" si="6"/>
        <v>0</v>
      </c>
    </row>
    <row r="56" spans="1:30" x14ac:dyDescent="0.25">
      <c r="A56" s="3" t="s">
        <v>79</v>
      </c>
      <c r="B56" s="5">
        <f>517.83</f>
        <v>517.83000000000004</v>
      </c>
      <c r="C56" s="4"/>
      <c r="D56" s="4"/>
      <c r="E56" s="4"/>
      <c r="F56" s="5">
        <f>1051.37</f>
        <v>1051.3699999999999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5">
        <f t="shared" si="6"/>
        <v>1569.1999999999998</v>
      </c>
    </row>
    <row r="57" spans="1:30" x14ac:dyDescent="0.25">
      <c r="A57" s="3" t="s">
        <v>80</v>
      </c>
      <c r="B57" s="5">
        <f>1122</f>
        <v>1122</v>
      </c>
      <c r="C57" s="4"/>
      <c r="D57" s="4"/>
      <c r="E57" s="4"/>
      <c r="F57" s="5">
        <f>2278</f>
        <v>2278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5">
        <f t="shared" si="6"/>
        <v>3400</v>
      </c>
    </row>
    <row r="58" spans="1:30" x14ac:dyDescent="0.25">
      <c r="A58" s="3" t="s">
        <v>81</v>
      </c>
      <c r="B58" s="5">
        <f>1562.63</f>
        <v>1562.63</v>
      </c>
      <c r="C58" s="4"/>
      <c r="D58" s="4"/>
      <c r="E58" s="4"/>
      <c r="F58" s="5">
        <f>3000.04</f>
        <v>3000.04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5">
        <f t="shared" si="6"/>
        <v>4562.67</v>
      </c>
    </row>
    <row r="59" spans="1:30" x14ac:dyDescent="0.25">
      <c r="A59" s="3" t="s">
        <v>82</v>
      </c>
      <c r="B59" s="5">
        <f>154273.33</f>
        <v>154273.32999999999</v>
      </c>
      <c r="C59" s="4"/>
      <c r="D59" s="4"/>
      <c r="E59" s="4"/>
      <c r="F59" s="5">
        <f>84934.56</f>
        <v>84934.56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5">
        <f t="shared" si="6"/>
        <v>239207.88999999998</v>
      </c>
    </row>
    <row r="60" spans="1:30" x14ac:dyDescent="0.25">
      <c r="A60" s="3" t="s">
        <v>83</v>
      </c>
      <c r="B60" s="4"/>
      <c r="C60" s="4"/>
      <c r="D60" s="5">
        <f>14000</f>
        <v>14000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">
        <f>700</f>
        <v>700</v>
      </c>
      <c r="R60" s="4"/>
      <c r="S60" s="4"/>
      <c r="T60" s="4"/>
      <c r="U60" s="4"/>
      <c r="V60" s="5">
        <f>40000</f>
        <v>40000</v>
      </c>
      <c r="W60" s="4"/>
      <c r="X60" s="4"/>
      <c r="Y60" s="4"/>
      <c r="Z60" s="4"/>
      <c r="AA60" s="4"/>
      <c r="AB60" s="4"/>
      <c r="AC60" s="4"/>
      <c r="AD60" s="5">
        <f t="shared" si="6"/>
        <v>54700</v>
      </c>
    </row>
    <row r="61" spans="1:30" x14ac:dyDescent="0.25">
      <c r="A61" s="3" t="s">
        <v>84</v>
      </c>
      <c r="B61" s="5">
        <f>5078.02</f>
        <v>5078.0200000000004</v>
      </c>
      <c r="C61" s="4"/>
      <c r="D61" s="4"/>
      <c r="E61" s="4"/>
      <c r="F61" s="5">
        <f>10309.94</f>
        <v>10309.94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5">
        <f t="shared" si="6"/>
        <v>15387.960000000001</v>
      </c>
    </row>
    <row r="62" spans="1:30" x14ac:dyDescent="0.25">
      <c r="A62" s="3" t="s">
        <v>85</v>
      </c>
      <c r="B62" s="5">
        <f>772.55</f>
        <v>772.55</v>
      </c>
      <c r="C62" s="4"/>
      <c r="D62" s="5">
        <f>20.52</f>
        <v>20.52</v>
      </c>
      <c r="E62" s="4"/>
      <c r="F62" s="5">
        <f>5037.43</f>
        <v>5037.43</v>
      </c>
      <c r="G62" s="4"/>
      <c r="H62" s="4"/>
      <c r="I62" s="4"/>
      <c r="J62" s="4"/>
      <c r="K62" s="4"/>
      <c r="L62" s="4"/>
      <c r="M62" s="4"/>
      <c r="N62" s="5">
        <f>60</f>
        <v>60</v>
      </c>
      <c r="O62" s="4"/>
      <c r="P62" s="4"/>
      <c r="Q62" s="4"/>
      <c r="R62" s="4"/>
      <c r="S62" s="4"/>
      <c r="T62" s="4"/>
      <c r="U62" s="4"/>
      <c r="V62" s="5">
        <f>222.45</f>
        <v>222.45</v>
      </c>
      <c r="W62" s="5">
        <f>55</f>
        <v>55</v>
      </c>
      <c r="X62" s="4"/>
      <c r="Y62" s="5">
        <f>158.89</f>
        <v>158.88999999999999</v>
      </c>
      <c r="Z62" s="5">
        <f>1999.96</f>
        <v>1999.96</v>
      </c>
      <c r="AA62" s="5">
        <f>1882.27</f>
        <v>1882.27</v>
      </c>
      <c r="AB62" s="4"/>
      <c r="AC62" s="4"/>
      <c r="AD62" s="5">
        <f t="shared" si="6"/>
        <v>10209.07</v>
      </c>
    </row>
    <row r="63" spans="1:30" x14ac:dyDescent="0.25">
      <c r="A63" s="3" t="s">
        <v>86</v>
      </c>
      <c r="B63" s="4"/>
      <c r="C63" s="4"/>
      <c r="D63" s="5">
        <f>219.99</f>
        <v>219.99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5">
        <f>2953.2</f>
        <v>2953.2</v>
      </c>
      <c r="Z63" s="4"/>
      <c r="AA63" s="4"/>
      <c r="AB63" s="4"/>
      <c r="AC63" s="4"/>
      <c r="AD63" s="5">
        <f t="shared" si="6"/>
        <v>3173.1899999999996</v>
      </c>
    </row>
    <row r="64" spans="1:30" x14ac:dyDescent="0.25">
      <c r="A64" s="3" t="s">
        <v>87</v>
      </c>
      <c r="B64" s="5">
        <f>1968.01</f>
        <v>1968.01</v>
      </c>
      <c r="C64" s="4"/>
      <c r="D64" s="4"/>
      <c r="E64" s="4"/>
      <c r="F64" s="5">
        <f>10819.26</f>
        <v>10819.26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5">
        <f>938.6</f>
        <v>938.6</v>
      </c>
      <c r="R64" s="4"/>
      <c r="S64" s="4"/>
      <c r="T64" s="4"/>
      <c r="U64" s="4"/>
      <c r="V64" s="4"/>
      <c r="W64" s="4"/>
      <c r="X64" s="4"/>
      <c r="Y64" s="5">
        <f>1077.27</f>
        <v>1077.27</v>
      </c>
      <c r="Z64" s="4"/>
      <c r="AA64" s="4"/>
      <c r="AB64" s="4"/>
      <c r="AC64" s="4"/>
      <c r="AD64" s="5">
        <f t="shared" ref="AD64:AD95" si="10">(((((((((((((((((((((((((((B64)+(C64))+(D64))+(E64))+(F64))+(G64))+(H64))+(I64))+(J64))+(K64))+(L64))+(M64))+(N64))+(O64))+(P64))+(Q64))+(R64))+(S64))+(T64))+(U64))+(V64))+(W64))+(X64))+(Y64))+(Z64))+(AA64))+(AB64))+(AC64)</f>
        <v>14803.140000000001</v>
      </c>
    </row>
    <row r="65" spans="1:30" ht="60.75" x14ac:dyDescent="0.25">
      <c r="A65" s="1"/>
      <c r="B65" s="2" t="s">
        <v>0</v>
      </c>
      <c r="C65" s="2" t="s">
        <v>1</v>
      </c>
      <c r="D65" s="2" t="s">
        <v>2</v>
      </c>
      <c r="E65" s="2" t="s">
        <v>3</v>
      </c>
      <c r="F65" s="2" t="s">
        <v>4</v>
      </c>
      <c r="G65" s="2" t="s">
        <v>5</v>
      </c>
      <c r="H65" s="2" t="s">
        <v>6</v>
      </c>
      <c r="I65" s="2" t="s">
        <v>7</v>
      </c>
      <c r="J65" s="2" t="s">
        <v>8</v>
      </c>
      <c r="K65" s="2" t="s">
        <v>9</v>
      </c>
      <c r="L65" s="2" t="s">
        <v>10</v>
      </c>
      <c r="M65" s="2" t="s">
        <v>11</v>
      </c>
      <c r="N65" s="2" t="s">
        <v>12</v>
      </c>
      <c r="O65" s="2" t="s">
        <v>13</v>
      </c>
      <c r="P65" s="2" t="s">
        <v>14</v>
      </c>
      <c r="Q65" s="2" t="s">
        <v>15</v>
      </c>
      <c r="R65" s="2" t="s">
        <v>16</v>
      </c>
      <c r="S65" s="2" t="s">
        <v>17</v>
      </c>
      <c r="T65" s="2" t="s">
        <v>18</v>
      </c>
      <c r="U65" s="2" t="s">
        <v>19</v>
      </c>
      <c r="V65" s="2" t="s">
        <v>20</v>
      </c>
      <c r="W65" s="2" t="s">
        <v>21</v>
      </c>
      <c r="X65" s="2" t="s">
        <v>22</v>
      </c>
      <c r="Y65" s="2" t="s">
        <v>23</v>
      </c>
      <c r="Z65" s="2" t="s">
        <v>24</v>
      </c>
      <c r="AA65" s="2" t="s">
        <v>25</v>
      </c>
      <c r="AB65" s="2" t="s">
        <v>26</v>
      </c>
      <c r="AC65" s="2" t="s">
        <v>27</v>
      </c>
      <c r="AD65" s="2" t="s">
        <v>28</v>
      </c>
    </row>
    <row r="66" spans="1:30" x14ac:dyDescent="0.25">
      <c r="A66" s="3" t="s">
        <v>88</v>
      </c>
      <c r="B66" s="4"/>
      <c r="C66" s="4"/>
      <c r="D66" s="4"/>
      <c r="E66" s="4"/>
      <c r="F66" s="5">
        <f>15676.4</f>
        <v>15676.4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5">
        <f t="shared" si="10"/>
        <v>15676.4</v>
      </c>
    </row>
    <row r="67" spans="1:30" x14ac:dyDescent="0.25">
      <c r="A67" s="3" t="s">
        <v>89</v>
      </c>
      <c r="B67" s="6">
        <f t="shared" ref="B67:AC67" si="11">((((((((((B55)+(B56))+(B57))+(B58))+(B59))+(B60))+(B61))+(B62))+(B63))+(B64))+(B66)</f>
        <v>165294.36999999997</v>
      </c>
      <c r="C67" s="6">
        <f t="shared" si="11"/>
        <v>0</v>
      </c>
      <c r="D67" s="6">
        <f t="shared" si="11"/>
        <v>14240.51</v>
      </c>
      <c r="E67" s="6">
        <f t="shared" si="11"/>
        <v>0</v>
      </c>
      <c r="F67" s="6">
        <f t="shared" si="11"/>
        <v>133107</v>
      </c>
      <c r="G67" s="6">
        <f t="shared" si="11"/>
        <v>0</v>
      </c>
      <c r="H67" s="6">
        <f t="shared" si="11"/>
        <v>0</v>
      </c>
      <c r="I67" s="6">
        <f t="shared" si="11"/>
        <v>0</v>
      </c>
      <c r="J67" s="6">
        <f t="shared" si="11"/>
        <v>0</v>
      </c>
      <c r="K67" s="6">
        <f t="shared" si="11"/>
        <v>0</v>
      </c>
      <c r="L67" s="6">
        <f t="shared" si="11"/>
        <v>0</v>
      </c>
      <c r="M67" s="6">
        <f t="shared" si="11"/>
        <v>0</v>
      </c>
      <c r="N67" s="6">
        <f t="shared" si="11"/>
        <v>60</v>
      </c>
      <c r="O67" s="6">
        <f t="shared" si="11"/>
        <v>0</v>
      </c>
      <c r="P67" s="6">
        <f t="shared" si="11"/>
        <v>0</v>
      </c>
      <c r="Q67" s="6">
        <f t="shared" si="11"/>
        <v>1638.6</v>
      </c>
      <c r="R67" s="6">
        <f t="shared" si="11"/>
        <v>0</v>
      </c>
      <c r="S67" s="6">
        <f t="shared" si="11"/>
        <v>0</v>
      </c>
      <c r="T67" s="6">
        <f t="shared" si="11"/>
        <v>0</v>
      </c>
      <c r="U67" s="6">
        <f t="shared" si="11"/>
        <v>0</v>
      </c>
      <c r="V67" s="6">
        <f t="shared" si="11"/>
        <v>40222.449999999997</v>
      </c>
      <c r="W67" s="6">
        <f t="shared" si="11"/>
        <v>55</v>
      </c>
      <c r="X67" s="6">
        <f t="shared" si="11"/>
        <v>0</v>
      </c>
      <c r="Y67" s="6">
        <f t="shared" si="11"/>
        <v>4189.3599999999997</v>
      </c>
      <c r="Z67" s="6">
        <f t="shared" si="11"/>
        <v>1999.96</v>
      </c>
      <c r="AA67" s="6">
        <f t="shared" si="11"/>
        <v>1882.27</v>
      </c>
      <c r="AB67" s="6">
        <f t="shared" si="11"/>
        <v>0</v>
      </c>
      <c r="AC67" s="6">
        <f t="shared" si="11"/>
        <v>0</v>
      </c>
      <c r="AD67" s="6">
        <f t="shared" si="10"/>
        <v>362689.52</v>
      </c>
    </row>
    <row r="68" spans="1:30" x14ac:dyDescent="0.25">
      <c r="A68" s="3" t="s">
        <v>90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5">
        <f t="shared" si="10"/>
        <v>0</v>
      </c>
    </row>
    <row r="69" spans="1:30" x14ac:dyDescent="0.25">
      <c r="A69" s="3" t="s">
        <v>91</v>
      </c>
      <c r="B69" s="5">
        <f>12135.28</f>
        <v>12135.28</v>
      </c>
      <c r="C69" s="4"/>
      <c r="D69" s="4"/>
      <c r="E69" s="4"/>
      <c r="F69" s="5">
        <f>16393.22</f>
        <v>16393.22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5">
        <f t="shared" si="10"/>
        <v>28528.5</v>
      </c>
    </row>
    <row r="70" spans="1:30" x14ac:dyDescent="0.25">
      <c r="A70" s="3" t="s">
        <v>92</v>
      </c>
      <c r="B70" s="5">
        <f>9186.71</f>
        <v>9186.7099999999991</v>
      </c>
      <c r="C70" s="4"/>
      <c r="D70" s="4"/>
      <c r="E70" s="4"/>
      <c r="F70" s="5">
        <f>18651.79</f>
        <v>18651.79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5">
        <f t="shared" si="10"/>
        <v>27838.5</v>
      </c>
    </row>
    <row r="71" spans="1:30" x14ac:dyDescent="0.25">
      <c r="A71" s="3" t="s">
        <v>93</v>
      </c>
      <c r="B71" s="6">
        <f t="shared" ref="B71:AC71" si="12">((B68)+(B69))+(B70)</f>
        <v>21321.989999999998</v>
      </c>
      <c r="C71" s="6">
        <f t="shared" si="12"/>
        <v>0</v>
      </c>
      <c r="D71" s="6">
        <f t="shared" si="12"/>
        <v>0</v>
      </c>
      <c r="E71" s="6">
        <f t="shared" si="12"/>
        <v>0</v>
      </c>
      <c r="F71" s="6">
        <f t="shared" si="12"/>
        <v>35045.01</v>
      </c>
      <c r="G71" s="6">
        <f t="shared" si="12"/>
        <v>0</v>
      </c>
      <c r="H71" s="6">
        <f t="shared" si="12"/>
        <v>0</v>
      </c>
      <c r="I71" s="6">
        <f t="shared" si="12"/>
        <v>0</v>
      </c>
      <c r="J71" s="6">
        <f t="shared" si="12"/>
        <v>0</v>
      </c>
      <c r="K71" s="6">
        <f t="shared" si="12"/>
        <v>0</v>
      </c>
      <c r="L71" s="6">
        <f t="shared" si="12"/>
        <v>0</v>
      </c>
      <c r="M71" s="6">
        <f t="shared" si="12"/>
        <v>0</v>
      </c>
      <c r="N71" s="6">
        <f t="shared" si="12"/>
        <v>0</v>
      </c>
      <c r="O71" s="6">
        <f t="shared" si="12"/>
        <v>0</v>
      </c>
      <c r="P71" s="6">
        <f t="shared" si="12"/>
        <v>0</v>
      </c>
      <c r="Q71" s="6">
        <f t="shared" si="12"/>
        <v>0</v>
      </c>
      <c r="R71" s="6">
        <f t="shared" si="12"/>
        <v>0</v>
      </c>
      <c r="S71" s="6">
        <f t="shared" si="12"/>
        <v>0</v>
      </c>
      <c r="T71" s="6">
        <f t="shared" si="12"/>
        <v>0</v>
      </c>
      <c r="U71" s="6">
        <f t="shared" si="12"/>
        <v>0</v>
      </c>
      <c r="V71" s="6">
        <f t="shared" si="12"/>
        <v>0</v>
      </c>
      <c r="W71" s="6">
        <f t="shared" si="12"/>
        <v>0</v>
      </c>
      <c r="X71" s="6">
        <f t="shared" si="12"/>
        <v>0</v>
      </c>
      <c r="Y71" s="6">
        <f t="shared" si="12"/>
        <v>0</v>
      </c>
      <c r="Z71" s="6">
        <f t="shared" si="12"/>
        <v>0</v>
      </c>
      <c r="AA71" s="6">
        <f t="shared" si="12"/>
        <v>0</v>
      </c>
      <c r="AB71" s="6">
        <f t="shared" si="12"/>
        <v>0</v>
      </c>
      <c r="AC71" s="6">
        <f t="shared" si="12"/>
        <v>0</v>
      </c>
      <c r="AD71" s="6">
        <f t="shared" si="10"/>
        <v>56367</v>
      </c>
    </row>
    <row r="72" spans="1:30" x14ac:dyDescent="0.25">
      <c r="A72" s="3" t="s">
        <v>94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5">
        <f t="shared" si="10"/>
        <v>0</v>
      </c>
    </row>
    <row r="73" spans="1:30" x14ac:dyDescent="0.25">
      <c r="A73" s="3" t="s">
        <v>95</v>
      </c>
      <c r="B73" s="5">
        <f>361.34</f>
        <v>361.34</v>
      </c>
      <c r="C73" s="4"/>
      <c r="D73" s="4"/>
      <c r="E73" s="4"/>
      <c r="F73" s="5">
        <f>216.8</f>
        <v>216.8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5">
        <f>72.27</f>
        <v>72.27</v>
      </c>
      <c r="W73" s="5">
        <f>72.27</f>
        <v>72.27</v>
      </c>
      <c r="X73" s="4"/>
      <c r="Y73" s="4"/>
      <c r="Z73" s="4"/>
      <c r="AA73" s="4"/>
      <c r="AB73" s="4"/>
      <c r="AC73" s="4"/>
      <c r="AD73" s="5">
        <f t="shared" si="10"/>
        <v>722.68</v>
      </c>
    </row>
    <row r="74" spans="1:30" x14ac:dyDescent="0.25">
      <c r="A74" s="3" t="s">
        <v>96</v>
      </c>
      <c r="B74" s="5">
        <f>134.32</f>
        <v>134.32</v>
      </c>
      <c r="C74" s="4"/>
      <c r="D74" s="4"/>
      <c r="E74" s="4"/>
      <c r="F74" s="5">
        <f>80.6</f>
        <v>80.599999999999994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5">
        <f>53.73</f>
        <v>53.73</v>
      </c>
      <c r="W74" s="4"/>
      <c r="X74" s="4"/>
      <c r="Y74" s="4"/>
      <c r="Z74" s="4"/>
      <c r="AA74" s="4"/>
      <c r="AB74" s="4"/>
      <c r="AC74" s="4"/>
      <c r="AD74" s="5">
        <f t="shared" si="10"/>
        <v>268.64999999999998</v>
      </c>
    </row>
    <row r="75" spans="1:30" x14ac:dyDescent="0.25">
      <c r="A75" s="3" t="s">
        <v>97</v>
      </c>
      <c r="B75" s="5">
        <f>5922.09</f>
        <v>5922.09</v>
      </c>
      <c r="C75" s="4"/>
      <c r="D75" s="5">
        <f>1065.75</f>
        <v>1065.75</v>
      </c>
      <c r="E75" s="4"/>
      <c r="F75" s="5">
        <f>4557.63</f>
        <v>4557.63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5">
        <f>186.92</f>
        <v>186.92</v>
      </c>
      <c r="S75" s="4"/>
      <c r="T75" s="4"/>
      <c r="U75" s="4"/>
      <c r="V75" s="5">
        <f>1652.55</f>
        <v>1652.55</v>
      </c>
      <c r="W75" s="5">
        <f>360.71</f>
        <v>360.71</v>
      </c>
      <c r="X75" s="5">
        <f>365.47</f>
        <v>365.47</v>
      </c>
      <c r="Y75" s="5">
        <f>11.17</f>
        <v>11.17</v>
      </c>
      <c r="Z75" s="4"/>
      <c r="AA75" s="4"/>
      <c r="AB75" s="5">
        <f>68.2</f>
        <v>68.2</v>
      </c>
      <c r="AC75" s="4"/>
      <c r="AD75" s="5">
        <f t="shared" si="10"/>
        <v>14190.49</v>
      </c>
    </row>
    <row r="76" spans="1:30" x14ac:dyDescent="0.25">
      <c r="A76" s="3" t="s">
        <v>98</v>
      </c>
      <c r="B76" s="5">
        <f>602.74</f>
        <v>602.74</v>
      </c>
      <c r="C76" s="4"/>
      <c r="D76" s="4"/>
      <c r="E76" s="4"/>
      <c r="F76" s="5">
        <f>607.61</f>
        <v>607.61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5">
        <f>836.47</f>
        <v>836.47</v>
      </c>
      <c r="W76" s="5">
        <f>639.17</f>
        <v>639.16999999999996</v>
      </c>
      <c r="X76" s="4"/>
      <c r="Y76" s="4"/>
      <c r="Z76" s="4"/>
      <c r="AA76" s="4"/>
      <c r="AB76" s="4"/>
      <c r="AC76" s="4"/>
      <c r="AD76" s="5">
        <f t="shared" si="10"/>
        <v>2685.99</v>
      </c>
    </row>
    <row r="77" spans="1:30" x14ac:dyDescent="0.25">
      <c r="A77" s="3" t="s">
        <v>99</v>
      </c>
      <c r="B77" s="5">
        <f>6830.71</f>
        <v>6830.71</v>
      </c>
      <c r="C77" s="4"/>
      <c r="D77" s="5">
        <f>734.33</f>
        <v>734.33</v>
      </c>
      <c r="E77" s="4"/>
      <c r="F77" s="5">
        <f>218.7</f>
        <v>218.7</v>
      </c>
      <c r="G77" s="4"/>
      <c r="H77" s="5">
        <f>66.64</f>
        <v>66.64</v>
      </c>
      <c r="I77" s="4"/>
      <c r="J77" s="4"/>
      <c r="K77" s="4"/>
      <c r="L77" s="4"/>
      <c r="M77" s="5">
        <f>98.24</f>
        <v>98.24</v>
      </c>
      <c r="N77" s="5">
        <f>417.96</f>
        <v>417.96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5">
        <f>619.99</f>
        <v>619.99</v>
      </c>
      <c r="Z77" s="4"/>
      <c r="AA77" s="4"/>
      <c r="AB77" s="4"/>
      <c r="AC77" s="4"/>
      <c r="AD77" s="5">
        <f t="shared" si="10"/>
        <v>8986.57</v>
      </c>
    </row>
    <row r="78" spans="1:30" x14ac:dyDescent="0.25">
      <c r="A78" s="3" t="s">
        <v>100</v>
      </c>
      <c r="B78" s="5">
        <f>46181.18</f>
        <v>46181.18</v>
      </c>
      <c r="C78" s="4"/>
      <c r="D78" s="5">
        <f>10135.83</f>
        <v>10135.83</v>
      </c>
      <c r="E78" s="4"/>
      <c r="F78" s="5">
        <f>5608.68</f>
        <v>5608.68</v>
      </c>
      <c r="G78" s="5">
        <f>81</f>
        <v>81</v>
      </c>
      <c r="H78" s="4"/>
      <c r="I78" s="4"/>
      <c r="J78" s="5">
        <f>28454.47</f>
        <v>28454.47</v>
      </c>
      <c r="K78" s="5">
        <f>373.82</f>
        <v>373.82</v>
      </c>
      <c r="L78" s="4"/>
      <c r="M78" s="5">
        <f>201.5</f>
        <v>201.5</v>
      </c>
      <c r="N78" s="5">
        <f>1794.34</f>
        <v>1794.34</v>
      </c>
      <c r="O78" s="5">
        <f>81</f>
        <v>81</v>
      </c>
      <c r="P78" s="4"/>
      <c r="Q78" s="5">
        <f>2494.47</f>
        <v>2494.4699999999998</v>
      </c>
      <c r="R78" s="5">
        <f>199227.36</f>
        <v>199227.36</v>
      </c>
      <c r="S78" s="4"/>
      <c r="T78" s="4"/>
      <c r="U78" s="4"/>
      <c r="V78" s="5">
        <f>6916.59</f>
        <v>6916.59</v>
      </c>
      <c r="W78" s="5">
        <f>11799.61</f>
        <v>11799.61</v>
      </c>
      <c r="X78" s="5">
        <f>11915.64</f>
        <v>11915.64</v>
      </c>
      <c r="Y78" s="5">
        <f>4778.18</f>
        <v>4778.18</v>
      </c>
      <c r="Z78" s="4"/>
      <c r="AA78" s="4"/>
      <c r="AB78" s="5">
        <f>42181.33</f>
        <v>42181.33</v>
      </c>
      <c r="AC78" s="4"/>
      <c r="AD78" s="5">
        <f t="shared" si="10"/>
        <v>372225.00000000006</v>
      </c>
    </row>
    <row r="79" spans="1:30" x14ac:dyDescent="0.25">
      <c r="A79" s="3" t="s">
        <v>101</v>
      </c>
      <c r="B79" s="5">
        <f>1159.24</f>
        <v>1159.24</v>
      </c>
      <c r="C79" s="4"/>
      <c r="D79" s="4"/>
      <c r="E79" s="4"/>
      <c r="F79" s="5">
        <f>1231.5</f>
        <v>1231.5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5">
        <f t="shared" si="10"/>
        <v>2390.7399999999998</v>
      </c>
    </row>
    <row r="80" spans="1:30" x14ac:dyDescent="0.25">
      <c r="A80" s="3" t="s">
        <v>102</v>
      </c>
      <c r="B80" s="6">
        <f t="shared" ref="B80:AC80" si="13">(((((((B72)+(B73))+(B74))+(B75))+(B76))+(B77))+(B78))+(B79)</f>
        <v>61191.62</v>
      </c>
      <c r="C80" s="6">
        <f t="shared" si="13"/>
        <v>0</v>
      </c>
      <c r="D80" s="6">
        <f t="shared" si="13"/>
        <v>11935.91</v>
      </c>
      <c r="E80" s="6">
        <f t="shared" si="13"/>
        <v>0</v>
      </c>
      <c r="F80" s="6">
        <f t="shared" si="13"/>
        <v>12521.52</v>
      </c>
      <c r="G80" s="6">
        <f t="shared" si="13"/>
        <v>81</v>
      </c>
      <c r="H80" s="6">
        <f t="shared" si="13"/>
        <v>66.64</v>
      </c>
      <c r="I80" s="6">
        <f t="shared" si="13"/>
        <v>0</v>
      </c>
      <c r="J80" s="6">
        <f t="shared" si="13"/>
        <v>28454.47</v>
      </c>
      <c r="K80" s="6">
        <f t="shared" si="13"/>
        <v>373.82</v>
      </c>
      <c r="L80" s="6">
        <f t="shared" si="13"/>
        <v>0</v>
      </c>
      <c r="M80" s="6">
        <f t="shared" si="13"/>
        <v>299.74</v>
      </c>
      <c r="N80" s="6">
        <f t="shared" si="13"/>
        <v>2212.2999999999997</v>
      </c>
      <c r="O80" s="6">
        <f t="shared" si="13"/>
        <v>81</v>
      </c>
      <c r="P80" s="6">
        <f t="shared" si="13"/>
        <v>0</v>
      </c>
      <c r="Q80" s="6">
        <f t="shared" si="13"/>
        <v>2494.4699999999998</v>
      </c>
      <c r="R80" s="6">
        <f t="shared" si="13"/>
        <v>199414.28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9531.61</v>
      </c>
      <c r="W80" s="6">
        <f t="shared" si="13"/>
        <v>12871.76</v>
      </c>
      <c r="X80" s="6">
        <f t="shared" si="13"/>
        <v>12281.109999999999</v>
      </c>
      <c r="Y80" s="6">
        <f t="shared" si="13"/>
        <v>5409.34</v>
      </c>
      <c r="Z80" s="6">
        <f t="shared" si="13"/>
        <v>0</v>
      </c>
      <c r="AA80" s="6">
        <f t="shared" si="13"/>
        <v>0</v>
      </c>
      <c r="AB80" s="6">
        <f t="shared" si="13"/>
        <v>42249.53</v>
      </c>
      <c r="AC80" s="6">
        <f t="shared" si="13"/>
        <v>0</v>
      </c>
      <c r="AD80" s="6">
        <f t="shared" si="10"/>
        <v>401470.12</v>
      </c>
    </row>
    <row r="81" spans="1:30" x14ac:dyDescent="0.25">
      <c r="A81" s="3" t="s">
        <v>103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5">
        <f t="shared" si="10"/>
        <v>0</v>
      </c>
    </row>
    <row r="82" spans="1:30" x14ac:dyDescent="0.25">
      <c r="A82" s="3" t="s">
        <v>104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>
        <f>63467.71</f>
        <v>63467.71</v>
      </c>
      <c r="Q82" s="4"/>
      <c r="R82" s="4"/>
      <c r="S82" s="4"/>
      <c r="T82" s="4"/>
      <c r="U82" s="4"/>
      <c r="V82" s="5">
        <f>6874.85</f>
        <v>6874.85</v>
      </c>
      <c r="W82" s="5">
        <f>4450</f>
        <v>4450</v>
      </c>
      <c r="X82" s="4"/>
      <c r="Y82" s="4"/>
      <c r="Z82" s="4"/>
      <c r="AA82" s="4"/>
      <c r="AB82" s="5">
        <f>46467.35</f>
        <v>46467.35</v>
      </c>
      <c r="AC82" s="5">
        <f>0</f>
        <v>0</v>
      </c>
      <c r="AD82" s="5">
        <f t="shared" si="10"/>
        <v>121259.91</v>
      </c>
    </row>
    <row r="83" spans="1:30" x14ac:dyDescent="0.25">
      <c r="A83" s="3" t="s">
        <v>105</v>
      </c>
      <c r="B83" s="5">
        <f>2690</f>
        <v>2690</v>
      </c>
      <c r="C83" s="4"/>
      <c r="D83" s="5">
        <f>1759.23</f>
        <v>1759.23</v>
      </c>
      <c r="E83" s="4"/>
      <c r="F83" s="5">
        <f>260</f>
        <v>260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5">
        <f>1700</f>
        <v>1700</v>
      </c>
      <c r="R83" s="5">
        <f>5452</f>
        <v>5452</v>
      </c>
      <c r="S83" s="4"/>
      <c r="T83" s="4"/>
      <c r="U83" s="4"/>
      <c r="V83" s="5">
        <f>1120</f>
        <v>1120</v>
      </c>
      <c r="W83" s="5">
        <f>2864</f>
        <v>2864</v>
      </c>
      <c r="X83" s="5">
        <f>2295</f>
        <v>2295</v>
      </c>
      <c r="Y83" s="5">
        <f>7566</f>
        <v>7566</v>
      </c>
      <c r="Z83" s="4"/>
      <c r="AA83" s="4"/>
      <c r="AB83" s="5">
        <f>44904.89</f>
        <v>44904.89</v>
      </c>
      <c r="AC83" s="4"/>
      <c r="AD83" s="5">
        <f t="shared" si="10"/>
        <v>70611.12</v>
      </c>
    </row>
    <row r="84" spans="1:30" x14ac:dyDescent="0.25">
      <c r="A84" s="3" t="s">
        <v>106</v>
      </c>
      <c r="B84" s="5">
        <f>16769.01</f>
        <v>16769.009999999998</v>
      </c>
      <c r="C84" s="4"/>
      <c r="D84" s="5">
        <f>5953.99</f>
        <v>5953.99</v>
      </c>
      <c r="E84" s="4"/>
      <c r="F84" s="5">
        <f>2286.23</f>
        <v>2286.23</v>
      </c>
      <c r="G84" s="4"/>
      <c r="H84" s="5">
        <f>476.06</f>
        <v>476.06</v>
      </c>
      <c r="I84" s="4"/>
      <c r="J84" s="4"/>
      <c r="K84" s="5">
        <f>311.81</f>
        <v>311.81</v>
      </c>
      <c r="L84" s="4"/>
      <c r="M84" s="4"/>
      <c r="N84" s="5">
        <f>35</f>
        <v>35</v>
      </c>
      <c r="O84" s="4"/>
      <c r="P84" s="4"/>
      <c r="Q84" s="5">
        <f>5761.69</f>
        <v>5761.69</v>
      </c>
      <c r="R84" s="5">
        <f>2112.96</f>
        <v>2112.96</v>
      </c>
      <c r="S84" s="4"/>
      <c r="T84" s="5">
        <f>157333.4</f>
        <v>157333.4</v>
      </c>
      <c r="U84" s="4"/>
      <c r="V84" s="5">
        <f>5468.32</f>
        <v>5468.32</v>
      </c>
      <c r="W84" s="5">
        <f>4407.3</f>
        <v>4407.3</v>
      </c>
      <c r="X84" s="5">
        <f>11006.31</f>
        <v>11006.31</v>
      </c>
      <c r="Y84" s="5">
        <f>4384.24</f>
        <v>4384.24</v>
      </c>
      <c r="Z84" s="4"/>
      <c r="AA84" s="4"/>
      <c r="AB84" s="5">
        <f>679</f>
        <v>679</v>
      </c>
      <c r="AC84" s="5">
        <f>0</f>
        <v>0</v>
      </c>
      <c r="AD84" s="5">
        <f t="shared" si="10"/>
        <v>216985.31999999998</v>
      </c>
    </row>
    <row r="85" spans="1:30" x14ac:dyDescent="0.25">
      <c r="A85" s="3" t="s">
        <v>107</v>
      </c>
      <c r="B85" s="5">
        <f>681.85</f>
        <v>681.85</v>
      </c>
      <c r="C85" s="4"/>
      <c r="D85" s="5">
        <f>150.7</f>
        <v>150.69999999999999</v>
      </c>
      <c r="E85" s="4"/>
      <c r="F85" s="5">
        <f>4499</f>
        <v>4499</v>
      </c>
      <c r="G85" s="4"/>
      <c r="H85" s="4"/>
      <c r="I85" s="4"/>
      <c r="J85" s="4"/>
      <c r="K85" s="4"/>
      <c r="L85" s="4"/>
      <c r="M85" s="5">
        <f>2756.34</f>
        <v>2756.34</v>
      </c>
      <c r="N85" s="4"/>
      <c r="O85" s="4"/>
      <c r="P85" s="4"/>
      <c r="Q85" s="4"/>
      <c r="R85" s="5">
        <f>629.7</f>
        <v>629.70000000000005</v>
      </c>
      <c r="S85" s="4"/>
      <c r="T85" s="4"/>
      <c r="U85" s="4"/>
      <c r="V85" s="5">
        <f>8664.97</f>
        <v>8664.9699999999993</v>
      </c>
      <c r="W85" s="5">
        <f>6179.61</f>
        <v>6179.61</v>
      </c>
      <c r="X85" s="4"/>
      <c r="Y85" s="5">
        <f>1318</f>
        <v>1318</v>
      </c>
      <c r="Z85" s="5">
        <f>678.64</f>
        <v>678.64</v>
      </c>
      <c r="AA85" s="4"/>
      <c r="AB85" s="4"/>
      <c r="AC85" s="4"/>
      <c r="AD85" s="5">
        <f t="shared" si="10"/>
        <v>25558.809999999998</v>
      </c>
    </row>
    <row r="86" spans="1:30" x14ac:dyDescent="0.25">
      <c r="A86" s="3" t="s">
        <v>108</v>
      </c>
      <c r="B86" s="5">
        <f>4756.9</f>
        <v>4756.8999999999996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5">
        <f t="shared" si="10"/>
        <v>4756.8999999999996</v>
      </c>
    </row>
    <row r="87" spans="1:30" x14ac:dyDescent="0.25">
      <c r="A87" s="3" t="s">
        <v>109</v>
      </c>
      <c r="B87" s="6">
        <f t="shared" ref="B87:AC87" si="14">(((((B81)+(B82))+(B83))+(B84))+(B85))+(B86)</f>
        <v>24897.759999999995</v>
      </c>
      <c r="C87" s="6">
        <f t="shared" si="14"/>
        <v>0</v>
      </c>
      <c r="D87" s="6">
        <f t="shared" si="14"/>
        <v>7863.9199999999992</v>
      </c>
      <c r="E87" s="6">
        <f t="shared" si="14"/>
        <v>0</v>
      </c>
      <c r="F87" s="6">
        <f t="shared" si="14"/>
        <v>7045.23</v>
      </c>
      <c r="G87" s="6">
        <f t="shared" si="14"/>
        <v>0</v>
      </c>
      <c r="H87" s="6">
        <f t="shared" si="14"/>
        <v>476.06</v>
      </c>
      <c r="I87" s="6">
        <f t="shared" si="14"/>
        <v>0</v>
      </c>
      <c r="J87" s="6">
        <f t="shared" si="14"/>
        <v>0</v>
      </c>
      <c r="K87" s="6">
        <f t="shared" si="14"/>
        <v>311.81</v>
      </c>
      <c r="L87" s="6">
        <f t="shared" si="14"/>
        <v>0</v>
      </c>
      <c r="M87" s="6">
        <f t="shared" si="14"/>
        <v>2756.34</v>
      </c>
      <c r="N87" s="6">
        <f t="shared" si="14"/>
        <v>35</v>
      </c>
      <c r="O87" s="6">
        <f t="shared" si="14"/>
        <v>0</v>
      </c>
      <c r="P87" s="6">
        <f t="shared" si="14"/>
        <v>63467.71</v>
      </c>
      <c r="Q87" s="6">
        <f t="shared" si="14"/>
        <v>7461.69</v>
      </c>
      <c r="R87" s="6">
        <f t="shared" si="14"/>
        <v>8194.66</v>
      </c>
      <c r="S87" s="6">
        <f t="shared" si="14"/>
        <v>0</v>
      </c>
      <c r="T87" s="6">
        <f t="shared" si="14"/>
        <v>157333.4</v>
      </c>
      <c r="U87" s="6">
        <f t="shared" si="14"/>
        <v>0</v>
      </c>
      <c r="V87" s="6">
        <f t="shared" si="14"/>
        <v>22128.14</v>
      </c>
      <c r="W87" s="6">
        <f t="shared" si="14"/>
        <v>17900.91</v>
      </c>
      <c r="X87" s="6">
        <f t="shared" si="14"/>
        <v>13301.31</v>
      </c>
      <c r="Y87" s="6">
        <f t="shared" si="14"/>
        <v>13268.24</v>
      </c>
      <c r="Z87" s="6">
        <f t="shared" si="14"/>
        <v>678.64</v>
      </c>
      <c r="AA87" s="6">
        <f t="shared" si="14"/>
        <v>0</v>
      </c>
      <c r="AB87" s="6">
        <f t="shared" si="14"/>
        <v>92051.239999999991</v>
      </c>
      <c r="AC87" s="6">
        <f t="shared" si="14"/>
        <v>0</v>
      </c>
      <c r="AD87" s="6">
        <f t="shared" si="10"/>
        <v>439172.05999999994</v>
      </c>
    </row>
    <row r="88" spans="1:30" x14ac:dyDescent="0.25">
      <c r="A88" s="3" t="s">
        <v>110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5">
        <f t="shared" si="10"/>
        <v>0</v>
      </c>
    </row>
    <row r="89" spans="1:30" x14ac:dyDescent="0.25">
      <c r="A89" s="3" t="s">
        <v>111</v>
      </c>
      <c r="B89" s="5">
        <f>4430.46</f>
        <v>4430.46</v>
      </c>
      <c r="C89" s="4"/>
      <c r="D89" s="4"/>
      <c r="E89" s="4"/>
      <c r="F89" s="5">
        <f>388.77</f>
        <v>388.77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>
        <f>422.9</f>
        <v>422.9</v>
      </c>
      <c r="W89" s="5">
        <f>2909.99</f>
        <v>2909.99</v>
      </c>
      <c r="X89" s="4"/>
      <c r="Y89" s="5">
        <f>1015.22</f>
        <v>1015.22</v>
      </c>
      <c r="Z89" s="4"/>
      <c r="AA89" s="4"/>
      <c r="AB89" s="4"/>
      <c r="AC89" s="4"/>
      <c r="AD89" s="5">
        <f t="shared" si="10"/>
        <v>9167.3399999999983</v>
      </c>
    </row>
    <row r="90" spans="1:30" x14ac:dyDescent="0.25">
      <c r="A90" s="3" t="s">
        <v>112</v>
      </c>
      <c r="B90" s="4"/>
      <c r="C90" s="4"/>
      <c r="D90" s="4"/>
      <c r="E90" s="4"/>
      <c r="F90" s="5">
        <f>7500</f>
        <v>7500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5">
        <f t="shared" si="10"/>
        <v>7500</v>
      </c>
    </row>
    <row r="91" spans="1:30" x14ac:dyDescent="0.25">
      <c r="A91" s="3" t="s">
        <v>113</v>
      </c>
      <c r="B91" s="4"/>
      <c r="C91" s="4"/>
      <c r="D91" s="5">
        <f>17924.61</f>
        <v>17924.61</v>
      </c>
      <c r="E91" s="5">
        <f>1027.25</f>
        <v>1027.25</v>
      </c>
      <c r="F91" s="5">
        <f>63221.89</f>
        <v>63221.89</v>
      </c>
      <c r="G91" s="5">
        <f>505.01</f>
        <v>505.01</v>
      </c>
      <c r="H91" s="5">
        <f>4324.96</f>
        <v>4324.96</v>
      </c>
      <c r="I91" s="5">
        <f>0</f>
        <v>0</v>
      </c>
      <c r="J91" s="5">
        <f>10363.27</f>
        <v>10363.27</v>
      </c>
      <c r="K91" s="5">
        <f>4495.57</f>
        <v>4495.57</v>
      </c>
      <c r="L91" s="5">
        <f>3051.06</f>
        <v>3051.06</v>
      </c>
      <c r="M91" s="4"/>
      <c r="N91" s="5">
        <f>6059.03</f>
        <v>6059.03</v>
      </c>
      <c r="O91" s="5">
        <f>2373.39</f>
        <v>2373.39</v>
      </c>
      <c r="P91" s="5">
        <f>33861.38</f>
        <v>33861.379999999997</v>
      </c>
      <c r="Q91" s="5">
        <f>6587.05</f>
        <v>6587.05</v>
      </c>
      <c r="R91" s="5">
        <f>47983.14</f>
        <v>47983.14</v>
      </c>
      <c r="S91" s="5">
        <f>32726.61</f>
        <v>32726.61</v>
      </c>
      <c r="T91" s="5">
        <f>8917.06</f>
        <v>8917.06</v>
      </c>
      <c r="U91" s="5">
        <f>2685.17</f>
        <v>2685.17</v>
      </c>
      <c r="V91" s="5">
        <f>22241.28</f>
        <v>22241.279999999999</v>
      </c>
      <c r="W91" s="5">
        <f>13200.27</f>
        <v>13200.27</v>
      </c>
      <c r="X91" s="5">
        <f>17315.78</f>
        <v>17315.78</v>
      </c>
      <c r="Y91" s="5">
        <f>17275.51</f>
        <v>17275.509999999998</v>
      </c>
      <c r="Z91" s="5">
        <f>129.97</f>
        <v>129.97</v>
      </c>
      <c r="AA91" s="5">
        <f>69.21</f>
        <v>69.209999999999994</v>
      </c>
      <c r="AB91" s="5">
        <f>2089.51</f>
        <v>2089.5100000000002</v>
      </c>
      <c r="AC91" s="4"/>
      <c r="AD91" s="5">
        <f t="shared" si="10"/>
        <v>318427.98000000004</v>
      </c>
    </row>
    <row r="92" spans="1:30" x14ac:dyDescent="0.25">
      <c r="A92" s="3" t="s">
        <v>114</v>
      </c>
      <c r="B92" s="6">
        <f t="shared" ref="B92:AC92" si="15">(((B88)+(B89))+(B90))+(B91)</f>
        <v>4430.46</v>
      </c>
      <c r="C92" s="6">
        <f t="shared" si="15"/>
        <v>0</v>
      </c>
      <c r="D92" s="6">
        <f t="shared" si="15"/>
        <v>17924.61</v>
      </c>
      <c r="E92" s="6">
        <f t="shared" si="15"/>
        <v>1027.25</v>
      </c>
      <c r="F92" s="6">
        <f t="shared" si="15"/>
        <v>71110.66</v>
      </c>
      <c r="G92" s="6">
        <f t="shared" si="15"/>
        <v>505.01</v>
      </c>
      <c r="H92" s="6">
        <f t="shared" si="15"/>
        <v>4324.96</v>
      </c>
      <c r="I92" s="6">
        <f t="shared" si="15"/>
        <v>0</v>
      </c>
      <c r="J92" s="6">
        <f t="shared" si="15"/>
        <v>10363.27</v>
      </c>
      <c r="K92" s="6">
        <f t="shared" si="15"/>
        <v>4495.57</v>
      </c>
      <c r="L92" s="6">
        <f t="shared" si="15"/>
        <v>3051.06</v>
      </c>
      <c r="M92" s="6">
        <f t="shared" si="15"/>
        <v>0</v>
      </c>
      <c r="N92" s="6">
        <f t="shared" si="15"/>
        <v>6059.03</v>
      </c>
      <c r="O92" s="6">
        <f t="shared" si="15"/>
        <v>2373.39</v>
      </c>
      <c r="P92" s="6">
        <f t="shared" si="15"/>
        <v>33861.379999999997</v>
      </c>
      <c r="Q92" s="6">
        <f t="shared" si="15"/>
        <v>6587.05</v>
      </c>
      <c r="R92" s="6">
        <f t="shared" si="15"/>
        <v>47983.14</v>
      </c>
      <c r="S92" s="6">
        <f t="shared" si="15"/>
        <v>32726.61</v>
      </c>
      <c r="T92" s="6">
        <f t="shared" si="15"/>
        <v>8917.06</v>
      </c>
      <c r="U92" s="6">
        <f t="shared" si="15"/>
        <v>2685.17</v>
      </c>
      <c r="V92" s="6">
        <f t="shared" si="15"/>
        <v>22664.18</v>
      </c>
      <c r="W92" s="6">
        <f t="shared" si="15"/>
        <v>16110.26</v>
      </c>
      <c r="X92" s="6">
        <f t="shared" si="15"/>
        <v>17315.78</v>
      </c>
      <c r="Y92" s="6">
        <f t="shared" si="15"/>
        <v>18290.73</v>
      </c>
      <c r="Z92" s="6">
        <f t="shared" si="15"/>
        <v>129.97</v>
      </c>
      <c r="AA92" s="6">
        <f t="shared" si="15"/>
        <v>69.209999999999994</v>
      </c>
      <c r="AB92" s="6">
        <f t="shared" si="15"/>
        <v>2089.5100000000002</v>
      </c>
      <c r="AC92" s="6">
        <f t="shared" si="15"/>
        <v>0</v>
      </c>
      <c r="AD92" s="6">
        <f t="shared" si="10"/>
        <v>335095.32</v>
      </c>
    </row>
    <row r="93" spans="1:30" x14ac:dyDescent="0.25">
      <c r="A93" s="3" t="s">
        <v>115</v>
      </c>
      <c r="B93" s="6">
        <f t="shared" ref="B93:AC93" si="16">((((((((B35)+(B47))+(B53))+(B54))+(B67))+(B71))+(B80))+(B87))+(B92)</f>
        <v>610313.6</v>
      </c>
      <c r="C93" s="6">
        <f t="shared" si="16"/>
        <v>0</v>
      </c>
      <c r="D93" s="6">
        <f t="shared" si="16"/>
        <v>241982.29000000004</v>
      </c>
      <c r="E93" s="6">
        <f t="shared" si="16"/>
        <v>21571.829999999998</v>
      </c>
      <c r="F93" s="6">
        <f t="shared" si="16"/>
        <v>700440.76</v>
      </c>
      <c r="G93" s="6">
        <f t="shared" si="16"/>
        <v>6825.73</v>
      </c>
      <c r="H93" s="6">
        <f t="shared" si="16"/>
        <v>48103.55999999999</v>
      </c>
      <c r="I93" s="6">
        <f t="shared" si="16"/>
        <v>0</v>
      </c>
      <c r="J93" s="6">
        <f t="shared" si="16"/>
        <v>113996.06000000001</v>
      </c>
      <c r="K93" s="6">
        <f t="shared" si="16"/>
        <v>49451.229999999996</v>
      </c>
      <c r="L93" s="6">
        <f t="shared" si="16"/>
        <v>41189.5</v>
      </c>
      <c r="M93" s="6">
        <f t="shared" si="16"/>
        <v>4685.8500000000004</v>
      </c>
      <c r="N93" s="6">
        <f t="shared" si="16"/>
        <v>66696.33</v>
      </c>
      <c r="O93" s="6">
        <f t="shared" si="16"/>
        <v>26107.3</v>
      </c>
      <c r="P93" s="6">
        <f t="shared" si="16"/>
        <v>372475.16000000003</v>
      </c>
      <c r="Q93" s="6">
        <f t="shared" si="16"/>
        <v>72457.58</v>
      </c>
      <c r="R93" s="6">
        <f t="shared" si="16"/>
        <v>415874.59</v>
      </c>
      <c r="S93" s="6">
        <f t="shared" si="16"/>
        <v>305448.33999999997</v>
      </c>
      <c r="T93" s="6">
        <f t="shared" si="16"/>
        <v>230780.11</v>
      </c>
      <c r="U93" s="6">
        <f t="shared" si="16"/>
        <v>36249.879999999997</v>
      </c>
      <c r="V93" s="6">
        <f t="shared" si="16"/>
        <v>296862.41000000003</v>
      </c>
      <c r="W93" s="6">
        <f t="shared" si="16"/>
        <v>178203.6</v>
      </c>
      <c r="X93" s="6">
        <f t="shared" si="16"/>
        <v>140999.9</v>
      </c>
      <c r="Y93" s="6">
        <f t="shared" si="16"/>
        <v>190030.44999999998</v>
      </c>
      <c r="Z93" s="6">
        <f t="shared" si="16"/>
        <v>6605.35</v>
      </c>
      <c r="AA93" s="6">
        <f t="shared" si="16"/>
        <v>3529.74</v>
      </c>
      <c r="AB93" s="6">
        <f t="shared" si="16"/>
        <v>170333.89</v>
      </c>
      <c r="AC93" s="6">
        <f t="shared" si="16"/>
        <v>0</v>
      </c>
      <c r="AD93" s="6">
        <f t="shared" si="10"/>
        <v>4351215.04</v>
      </c>
    </row>
    <row r="94" spans="1:30" x14ac:dyDescent="0.25">
      <c r="A94" s="3" t="s">
        <v>116</v>
      </c>
      <c r="B94" s="6">
        <f t="shared" ref="B94:AC94" si="17">(B30)-(B93)</f>
        <v>179587.34000000008</v>
      </c>
      <c r="C94" s="6">
        <f t="shared" si="17"/>
        <v>190</v>
      </c>
      <c r="D94" s="6">
        <f t="shared" si="17"/>
        <v>-93349.130000000034</v>
      </c>
      <c r="E94" s="6">
        <f t="shared" si="17"/>
        <v>-8628.7199999999975</v>
      </c>
      <c r="F94" s="6">
        <f t="shared" si="17"/>
        <v>194726.68999999994</v>
      </c>
      <c r="G94" s="6">
        <f t="shared" si="17"/>
        <v>-702.4399999999996</v>
      </c>
      <c r="H94" s="6">
        <f t="shared" si="17"/>
        <v>-26790.149999999991</v>
      </c>
      <c r="I94" s="6">
        <f t="shared" si="17"/>
        <v>0</v>
      </c>
      <c r="J94" s="6">
        <f t="shared" si="17"/>
        <v>-49433.380000000012</v>
      </c>
      <c r="K94" s="6">
        <f t="shared" si="17"/>
        <v>2134.2900000000009</v>
      </c>
      <c r="L94" s="6">
        <f t="shared" si="17"/>
        <v>-16475.829999999998</v>
      </c>
      <c r="M94" s="6">
        <f t="shared" si="17"/>
        <v>3314.1499999999996</v>
      </c>
      <c r="N94" s="6">
        <f t="shared" si="17"/>
        <v>-49921.33</v>
      </c>
      <c r="O94" s="6">
        <f t="shared" si="17"/>
        <v>44452.2</v>
      </c>
      <c r="P94" s="6">
        <f t="shared" si="17"/>
        <v>1.9999999999417923</v>
      </c>
      <c r="Q94" s="6">
        <f t="shared" si="17"/>
        <v>312200.42</v>
      </c>
      <c r="R94" s="6">
        <f t="shared" si="17"/>
        <v>-144886.38</v>
      </c>
      <c r="S94" s="6">
        <f t="shared" si="17"/>
        <v>1.0000000009313226E-2</v>
      </c>
      <c r="T94" s="6">
        <f t="shared" si="17"/>
        <v>-2</v>
      </c>
      <c r="U94" s="6">
        <f t="shared" si="17"/>
        <v>-14491.879999999997</v>
      </c>
      <c r="V94" s="6">
        <f t="shared" si="17"/>
        <v>0</v>
      </c>
      <c r="W94" s="6">
        <f t="shared" si="17"/>
        <v>-83244.600000000006</v>
      </c>
      <c r="X94" s="6">
        <f t="shared" si="17"/>
        <v>-61943.89</v>
      </c>
      <c r="Y94" s="6">
        <f t="shared" si="17"/>
        <v>-93537.249999999985</v>
      </c>
      <c r="Z94" s="6">
        <f t="shared" si="17"/>
        <v>-15.350000000000364</v>
      </c>
      <c r="AA94" s="6">
        <f t="shared" si="17"/>
        <v>-2764.74</v>
      </c>
      <c r="AB94" s="6">
        <f t="shared" si="17"/>
        <v>-170333.89</v>
      </c>
      <c r="AC94" s="6">
        <f t="shared" si="17"/>
        <v>0</v>
      </c>
      <c r="AD94" s="6">
        <f t="shared" si="10"/>
        <v>-79913.860000000073</v>
      </c>
    </row>
    <row r="95" spans="1:30" x14ac:dyDescent="0.25">
      <c r="A95" s="3" t="s">
        <v>117</v>
      </c>
      <c r="B95" s="7">
        <f t="shared" ref="B95:AC95" si="18">(B94)+(0)</f>
        <v>179587.34000000008</v>
      </c>
      <c r="C95" s="7">
        <f t="shared" si="18"/>
        <v>190</v>
      </c>
      <c r="D95" s="7">
        <f t="shared" si="18"/>
        <v>-93349.130000000034</v>
      </c>
      <c r="E95" s="7">
        <f t="shared" si="18"/>
        <v>-8628.7199999999975</v>
      </c>
      <c r="F95" s="7">
        <f t="shared" si="18"/>
        <v>194726.68999999994</v>
      </c>
      <c r="G95" s="7">
        <f t="shared" si="18"/>
        <v>-702.4399999999996</v>
      </c>
      <c r="H95" s="7">
        <f t="shared" si="18"/>
        <v>-26790.149999999991</v>
      </c>
      <c r="I95" s="7">
        <f t="shared" si="18"/>
        <v>0</v>
      </c>
      <c r="J95" s="7">
        <f t="shared" si="18"/>
        <v>-49433.380000000012</v>
      </c>
      <c r="K95" s="7">
        <f t="shared" si="18"/>
        <v>2134.2900000000009</v>
      </c>
      <c r="L95" s="7">
        <f t="shared" si="18"/>
        <v>-16475.829999999998</v>
      </c>
      <c r="M95" s="7">
        <f t="shared" si="18"/>
        <v>3314.1499999999996</v>
      </c>
      <c r="N95" s="7">
        <f t="shared" si="18"/>
        <v>-49921.33</v>
      </c>
      <c r="O95" s="7">
        <f t="shared" si="18"/>
        <v>44452.2</v>
      </c>
      <c r="P95" s="7">
        <f t="shared" si="18"/>
        <v>1.9999999999417923</v>
      </c>
      <c r="Q95" s="7">
        <f t="shared" si="18"/>
        <v>312200.42</v>
      </c>
      <c r="R95" s="7">
        <f t="shared" si="18"/>
        <v>-144886.38</v>
      </c>
      <c r="S95" s="7">
        <f t="shared" si="18"/>
        <v>1.0000000009313226E-2</v>
      </c>
      <c r="T95" s="7">
        <f t="shared" si="18"/>
        <v>-2</v>
      </c>
      <c r="U95" s="7">
        <f t="shared" si="18"/>
        <v>-14491.879999999997</v>
      </c>
      <c r="V95" s="7">
        <f t="shared" si="18"/>
        <v>0</v>
      </c>
      <c r="W95" s="7">
        <f t="shared" si="18"/>
        <v>-83244.600000000006</v>
      </c>
      <c r="X95" s="7">
        <f t="shared" si="18"/>
        <v>-61943.89</v>
      </c>
      <c r="Y95" s="7">
        <f t="shared" si="18"/>
        <v>-93537.249999999985</v>
      </c>
      <c r="Z95" s="7">
        <f t="shared" si="18"/>
        <v>-15.350000000000364</v>
      </c>
      <c r="AA95" s="7">
        <f t="shared" si="18"/>
        <v>-2764.74</v>
      </c>
      <c r="AB95" s="7">
        <f t="shared" si="18"/>
        <v>-170333.89</v>
      </c>
      <c r="AC95" s="7">
        <f t="shared" si="18"/>
        <v>0</v>
      </c>
      <c r="AD95" s="7">
        <f t="shared" si="10"/>
        <v>-79913.860000000073</v>
      </c>
    </row>
    <row r="96" spans="1:30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9" spans="1:30" x14ac:dyDescent="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</sheetData>
  <sheetProtection algorithmName="SHA-512" hashValue="UjemC6CRJkHrcRAklSsjgO1gN+V2s/CVEDL0LjYBV1Z0pDpypfcjI3Pw1VAcmjMtUEqCxi2iB307Qr+3mIMmgQ==" saltValue="QBJrGNjwN245iEGDYFIMRQ==" spinCount="100000" sheet="1" objects="1" scenarios="1"/>
  <mergeCells count="4">
    <mergeCell ref="A99:AD99"/>
    <mergeCell ref="A1:AD1"/>
    <mergeCell ref="A2:AD2"/>
    <mergeCell ref="A3:AD3"/>
  </mergeCells>
  <pageMargins left="0.25" right="0.25" top="0.75" bottom="0.75" header="0.3" footer="0.3"/>
  <pageSetup paperSize="5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2022-12-09T13:11:43Z</cp:lastPrinted>
  <dcterms:created xsi:type="dcterms:W3CDTF">2022-12-09T13:08:28Z</dcterms:created>
  <dcterms:modified xsi:type="dcterms:W3CDTF">2022-12-30T13:55:26Z</dcterms:modified>
</cp:coreProperties>
</file>