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470" windowWidth="11280" windowHeight="4150" tabRatio="653" firstSheet="1" activeTab="1"/>
  </bookViews>
  <sheets>
    <sheet name="New Proposed Budget" sheetId="1" state="hidden" r:id="rId1"/>
    <sheet name="Complete Budget Sheet" sheetId="2" r:id="rId2"/>
    <sheet name="Line Item Descriptions" sheetId="3" state="hidden" r:id="rId3"/>
    <sheet name="Display" sheetId="4" state="hidden" r:id="rId4"/>
    <sheet name="Results" sheetId="5" state="hidden" r:id="rId5"/>
    <sheet name="Cost2 Calculations" sheetId="6" state="hidden" r:id="rId6"/>
    <sheet name="Reference Data" sheetId="7" state="hidden" r:id="rId7"/>
    <sheet name="State_Detail" sheetId="8" state="hidden" r:id="rId8"/>
    <sheet name="IP_Data" sheetId="9" state="hidden" r:id="rId9"/>
    <sheet name="Network" sheetId="10" state="hidden" r:id="rId10"/>
    <sheet name="Software" sheetId="11" state="hidden" r:id="rId11"/>
    <sheet name="Hardware" sheetId="12" state="hidden" r:id="rId12"/>
    <sheet name="NOS" sheetId="13" state="hidden" r:id="rId13"/>
    <sheet name="TAR Numbers" sheetId="14" state="hidden" r:id="rId14"/>
    <sheet name="IC Costs 2011" sheetId="15" state="hidden" r:id="rId15"/>
    <sheet name="IC Costs 2012" sheetId="16" state="hidden" r:id="rId16"/>
  </sheets>
  <definedNames>
    <definedName name="_Scenario_new_change" localSheetId="1" hidden="1">'Complete Budget Sheet'!#REF!</definedName>
    <definedName name="_Scenario_new_change" localSheetId="2" hidden="1">'Line Item Descriptions'!#REF!</definedName>
    <definedName name="_scenchg_count" localSheetId="1" hidden="1">1</definedName>
    <definedName name="_scenchg_count" localSheetId="2" hidden="1">1</definedName>
    <definedName name="_scenchg1" localSheetId="1" hidden="1">'Complete Budget Sheet'!#REF!</definedName>
    <definedName name="_scenchg1" localSheetId="2" hidden="1">'Line Item Descriptions'!#REF!</definedName>
    <definedName name="ACwvu.test." localSheetId="1" hidden="1">'Complete Budget Sheet'!#REF!</definedName>
    <definedName name="ACwvu.test." localSheetId="2" hidden="1">'Line Item Descriptions'!#REF!</definedName>
    <definedName name="ACwvu.test1." localSheetId="1" hidden="1">'Complete Budget Sheet'!$N:$AH</definedName>
    <definedName name="ACwvu.test1." localSheetId="2" hidden="1">'Line Item Descriptions'!$K:$AE</definedName>
    <definedName name="ADA_Technology_Cost">'Cost2 Calculations'!$B$12</definedName>
    <definedName name="ADA_Technology_Count">'Reference Data'!$B$43</definedName>
    <definedName name="Alternative_Technology_Cost">'Cost2 Calculations'!$A$11:$A$12</definedName>
    <definedName name="Alternative_Technology_Count">'Reference Data'!$B$42</definedName>
    <definedName name="Asynch_DSU_Cost">'Cost2 Calculations'!$B$110</definedName>
    <definedName name="Asynch_Lines_District_Office_Ratio">'Reference Data'!$B$27</definedName>
    <definedName name="Asynch_Lines_School_Ratio">'Reference Data'!$B$24</definedName>
    <definedName name="Asynch_Server_Cost">'Cost2 Calculations'!$B$109</definedName>
    <definedName name="Avg_Run_Length">'Cost2 Calculations'!$D$86</definedName>
    <definedName name="Bridge_Cost">'Cost2 Calculations'!$B$104</definedName>
    <definedName name="Bridge_School_Ratio">'Reference Data'!$B$23</definedName>
    <definedName name="BudgetYears">'Reference Data'!$B$251</definedName>
    <definedName name="BudgetYears2" localSheetId="2">'Line Item Descriptions'!#REF!</definedName>
    <definedName name="BudgetYears2">'Complete Budget Sheet'!#REF!</definedName>
    <definedName name="Centrex_Monthly_Cost">'Cost2 Calculations'!$B$117</definedName>
    <definedName name="Centrex_Percent">'Reference Data'!$B$21</definedName>
    <definedName name="Classroom_File_Server_Cost">'Cost2 Calculations'!$B$59</definedName>
    <definedName name="Classroom_Workstation_Cost">'Cost2 Calculations'!$B$29</definedName>
    <definedName name="Classroom_Workstation_Ratio">'Reference Data'!$B$15</definedName>
    <definedName name="Clssrms_per_schl">'Reference Data'!$E$3</definedName>
    <definedName name="Complete_Classroom_Workstations">'Reference Data'!$E$58</definedName>
    <definedName name="Complete_District_Office_Workstations">'Reference Data'!$E$132</definedName>
    <definedName name="Complete_School_Staff_Workstations">'Reference Data'!$E$76</definedName>
    <definedName name="Complete_Student_Workstations">'Reference Data'!$E$40</definedName>
    <definedName name="DAS_Server_Cost">'Cost2 Calculations'!$B$130</definedName>
    <definedName name="DAS_SW_Cost">'Cost2 Calculations'!$B$133</definedName>
    <definedName name="Data_Cable_Cost">'Cost2 Calculations'!$E$87</definedName>
    <definedName name="Data_Nodes">'Reference Data'!$B$10</definedName>
    <definedName name="Data_Wiring_Run_Cost" localSheetId="1">'Complete Budget Sheet'!#REF!</definedName>
    <definedName name="Data_Wiring_Run_Cost" localSheetId="5">'Cost2 Calculations'!$B$94</definedName>
    <definedName name="Data_Wiring_Run_Cost" localSheetId="2">'Line Item Descriptions'!#REF!</definedName>
    <definedName name="Dot_Matrix_Inkjet_Printer_Cost">'Cost2 Calculations'!$B$42</definedName>
    <definedName name="End_Router_Cost">'Cost2 Calculations'!$B$105</definedName>
    <definedName name="Enet_NIC_Cost">'Cost2 Calculations'!$B$19</definedName>
    <definedName name="Enet_Percent">'Reference Data'!$B$18</definedName>
    <definedName name="Enet_Repeater_Cost">'Cost2 Calculations'!$B$102</definedName>
    <definedName name="Existing_Classroom_Dot_Matrix_Printers">'Reference Data'!$E$61</definedName>
    <definedName name="Existing_Classroom_File_Servers">'Reference Data'!$E$67</definedName>
    <definedName name="Existing_Classroom_Laser_Printers">'Reference Data'!$E$64</definedName>
    <definedName name="Existing_Classroom_Phones">'Reference Data'!$E$114</definedName>
    <definedName name="Existing_Classroom_Workstations">'Reference Data'!$E$55</definedName>
    <definedName name="Existing_District_Office_Application_Servers">'Reference Data'!$E$144</definedName>
    <definedName name="Existing_District_Office_Dot_Matrix_Printers">'Reference Data'!$E$135</definedName>
    <definedName name="Existing_District_Office_File_Servers">'Reference Data'!$E$141</definedName>
    <definedName name="Existing_District_Office_Laser_Printers">'Reference Data'!$E$138</definedName>
    <definedName name="Existing_District_Office_Workstations">'Reference Data'!$E$129</definedName>
    <definedName name="Existing_ETAC_Appl_Servers">'Reference Data'!$E$194</definedName>
    <definedName name="Existing_ETAC_Dot_Matrix_Printers">'Reference Data'!$E$185</definedName>
    <definedName name="Existing_ETAC_File_Servers">'Reference Data'!$E$191</definedName>
    <definedName name="Existing_ETAC_Laser_Printers">'Reference Data'!$E$188</definedName>
    <definedName name="Existing_ETAC_Workstations">'Reference Data'!$E$182</definedName>
    <definedName name="Existing_Laser_Printers">'Reference Data'!$E$64</definedName>
    <definedName name="Existing_School_File_Appl_Servers">'Reference Data'!$E$85</definedName>
    <definedName name="Existing_School_Staff_Dot_Matrix_Printers">'Reference Data'!$E$79</definedName>
    <definedName name="Existing_School_Staff_Laser_Printers">'Reference Data'!$E$82</definedName>
    <definedName name="Existing_School_Staff_Workstations">'Reference Data'!$E$73</definedName>
    <definedName name="Existing_Student_Workstations">'Reference Data'!$E$37</definedName>
    <definedName name="Existing_TV_Monitors">'Reference Data'!$E$70</definedName>
    <definedName name="F_type_Connector_Cost">'Cost2 Calculations'!$F$88</definedName>
    <definedName name="Faceplate_Cost">'Cost2 Calculations'!$F$89</definedName>
    <definedName name="Hub_Chassis_Cost">'Cost2 Calculations'!$B$101</definedName>
    <definedName name="IEP">'Reference Data'!$B$29</definedName>
    <definedName name="Instructional_SW_Cost">'Cost2 Calculations'!$B$14</definedName>
    <definedName name="Intermediate_Router_Cost">'Cost2 Calculations'!$B$143</definedName>
    <definedName name="K56_DSU_Cost">'Cost2 Calculations'!$B$146</definedName>
    <definedName name="K56_Install_Cost">'Cost2 Calculations'!$B$147</definedName>
    <definedName name="K56_Monthly_Cost">'Cost2 Calculations'!$B$154</definedName>
    <definedName name="Level_1_Laser_Printer_Cost">'Cost2 Calculations'!$B$56</definedName>
    <definedName name="Level_2_Laser_Printer_Cost">'Cost2 Calculations'!$B$70</definedName>
    <definedName name="Level_3_Laser_Printer_Cost">'Cost2 Calculations'!$B$128</definedName>
    <definedName name="name">'Reference Data'!$E$76</definedName>
    <definedName name="names">'Reference Data'!$E$76</definedName>
    <definedName name="Net_OS_Cost">'Cost2 Calculations'!$B$79</definedName>
    <definedName name="Network_Operating_System_5_user">'Cost2 Calculations'!$B$78</definedName>
    <definedName name="New_Classroom_Dot_Matrix_Printers">'Reference Data'!$B$62</definedName>
    <definedName name="New_Classroom_File_Servers">'Reference Data'!$B$68</definedName>
    <definedName name="New_Classroom_Laser_Printers">'Reference Data'!$B$65</definedName>
    <definedName name="New_Classroom_Phones">'Reference Data'!$B$116</definedName>
    <definedName name="New_Classroom_Workstations">'Reference Data'!$B$56</definedName>
    <definedName name="New_District_Office_Application_Servers">'Reference Data'!$B$145</definedName>
    <definedName name="New_District_Office_Dot_Matrix_Printers">'Reference Data'!$B$136</definedName>
    <definedName name="New_District_Office_File_Servers">'Reference Data'!$B$142</definedName>
    <definedName name="New_District_Office_Laser_Printers">'Reference Data'!$B$139</definedName>
    <definedName name="New_District_Office_Workstations">'Reference Data'!$B$130</definedName>
    <definedName name="New_ETAC_Appl_Servers">'Reference Data'!$B$195</definedName>
    <definedName name="New_ETAC_Dot_Matrix_Printers">'Reference Data'!$B$186</definedName>
    <definedName name="New_ETAC_File_Servers">'Reference Data'!$B$192</definedName>
    <definedName name="New_ETAC_Laser_Printers">'Reference Data'!$B$189</definedName>
    <definedName name="New_ETAC_Workstations">'Reference Data'!$B$183</definedName>
    <definedName name="New_School_File_Appl_Servers">'Reference Data'!$B$86</definedName>
    <definedName name="New_School_Staff_Dot_Matrix_Printers">'Reference Data'!$B$80</definedName>
    <definedName name="New_School_Staff_Laser_Printers">'Reference Data'!$B$83</definedName>
    <definedName name="New_School_Staff_Workstations">'Reference Data'!$B$74</definedName>
    <definedName name="New_Student_Workstations">'Reference Data'!$B$38</definedName>
    <definedName name="New_TV_Monitors">'Reference Data'!$B$71</definedName>
    <definedName name="Nodes">'Reference Data'!$B$8</definedName>
    <definedName name="Novellnodesperschool">'Reference Data'!$B$13</definedName>
    <definedName name="Number_of_ATC">'Reference Data'!$B$231</definedName>
    <definedName name="Number_of_Classrooms">'Reference Data'!$B$6</definedName>
    <definedName name="Number_of_Districts">'Reference Data'!$B$2</definedName>
    <definedName name="Number_of_FRYSC">'Reference Data'!$B$228</definedName>
    <definedName name="Number_of_FRYSC_Classrooms">'Reference Data'!$B$225</definedName>
    <definedName name="Number_of_FRYSC_Nodes">'Reference Data'!$B$227</definedName>
    <definedName name="Number_Of_FRYSC_Students">'Reference Data'!$B$226</definedName>
    <definedName name="Number_of_Locally_Owned_Vocational_Education_Center">'Reference Data'!$B$236</definedName>
    <definedName name="Number_of_Schools">'Reference Data'!$B$3</definedName>
    <definedName name="Number_of_Students">'Reference Data'!$B$7</definedName>
    <definedName name="Number_of_Teachers">'Reference Data'!$B$4</definedName>
    <definedName name="Number_of_VS">'Reference Data'!$B$237</definedName>
    <definedName name="Number_of_VS_Classrooms">'Reference Data'!$B$234</definedName>
    <definedName name="Number_of_VS_Nodes">'Reference Data'!#REF!</definedName>
    <definedName name="Number_of_VS_Schools">'Reference Data'!$B$236</definedName>
    <definedName name="Number_of_VS_Staff">'Reference Data'!$B$238</definedName>
    <definedName name="Number_of_VS_Students">'Reference Data'!$B$235</definedName>
    <definedName name="Office_File_Server_Cost">'Cost2 Calculations'!$B$73</definedName>
    <definedName name="PBX_Cost">'Cost2 Calculations'!$B$113</definedName>
    <definedName name="PBX_Percent">'Reference Data'!$B$20</definedName>
    <definedName name="Planned_Classroom_Dot_Matrix_Printers">'Reference Data'!$E$60</definedName>
    <definedName name="Planned_Classroom_File_Servers">'Reference Data'!$E$66</definedName>
    <definedName name="Planned_Classroom_Laser_Printers">'Reference Data'!$E$63</definedName>
    <definedName name="Planned_Classroom_Phones">'Reference Data'!$E$113</definedName>
    <definedName name="Planned_Classroom_Workstations">'Reference Data'!$E$54</definedName>
    <definedName name="Planned_District_Office_Application_Servers">'Reference Data'!$E$143</definedName>
    <definedName name="Planned_District_Office_Dot_Matrix_Printers">'Reference Data'!$E$134</definedName>
    <definedName name="Planned_District_Office_File_Servers">'Reference Data'!$E$140</definedName>
    <definedName name="Planned_District_Office_Laser_Printers">'Reference Data'!$E$137</definedName>
    <definedName name="Planned_District_Office_Workstations">'Reference Data'!$E$128</definedName>
    <definedName name="Planned_ETAC_Appl_Servers">'Reference Data'!$E$193</definedName>
    <definedName name="Planned_ETAC_Dot_Matrix_Printers">'Reference Data'!$E$184</definedName>
    <definedName name="Planned_ETAC_File_Servers">'Reference Data'!$E$190</definedName>
    <definedName name="Planned_ETAC_Laser_Printers">'Reference Data'!$E$187</definedName>
    <definedName name="Planned_ETAC_Workstations">'Reference Data'!$E$181</definedName>
    <definedName name="Planned_School_File_Appl_Servers">'Reference Data'!$E$84</definedName>
    <definedName name="Planned_School_Staff_Dot_Matrix_Printers">'Reference Data'!$E$78</definedName>
    <definedName name="Planned_School_Staff_Laser_Printers">'Reference Data'!$E$81</definedName>
    <definedName name="Planned_School_Staff_Workstations">'Reference Data'!$E$72</definedName>
    <definedName name="Planned_Student_Workstations">'Reference Data'!$E$36</definedName>
    <definedName name="Planned_TV_Monitors">'Reference Data'!$E$69</definedName>
    <definedName name="Print_All">#REF!</definedName>
    <definedName name="_xlnm.Print_Area" localSheetId="3">'Display'!$A$1:$K$135</definedName>
    <definedName name="_xlnm.Print_Area" localSheetId="12">'NOS'!$A$1:$H$67</definedName>
    <definedName name="_xlnm.Print_Area" localSheetId="4">'Results'!$A$1:$I$51</definedName>
    <definedName name="_xlnm.Print_Titles" localSheetId="1">'Complete Budget Sheet'!$1:$1</definedName>
    <definedName name="_xlnm.Print_Titles" localSheetId="3">'Display'!$1:$1</definedName>
    <definedName name="_xlnm.Print_Titles" localSheetId="2">'Line Item Descriptions'!$1:$1</definedName>
    <definedName name="_xlnm.Print_Titles" localSheetId="6">'Reference Data'!$1:$1</definedName>
    <definedName name="_xlnm.Print_Titles" localSheetId="7">'State_Detail'!$1:$1</definedName>
    <definedName name="Project_Consultant" localSheetId="2">'Line Item Descriptions'!#REF!</definedName>
    <definedName name="Project_Consultant">'Complete Budget Sheet'!#REF!</definedName>
    <definedName name="RJ45_Jack_Cost">'Cost2 Calculations'!$F$87</definedName>
    <definedName name="scen_change" localSheetId="1" hidden="1">'Complete Budget Sheet'!#REF!</definedName>
    <definedName name="scen_change" localSheetId="2" hidden="1">'Line Item Descriptions'!#REF!</definedName>
    <definedName name="School_Staff_Professional_Development">'Reference Data'!$B$125</definedName>
    <definedName name="SSMS_SW_Cost">'Cost2 Calculations'!$B$80</definedName>
    <definedName name="Staff_Workstation_Cost">'Cost2 Calculations'!$B$32</definedName>
    <definedName name="Standard_HW_Maintenance_Percent">'Reference Data'!$B$50</definedName>
    <definedName name="Standard_NW_Maintenance_Percent">'Reference Data'!$B$120</definedName>
    <definedName name="Standard_SW_Maintenance_Percent">'Reference Data'!$B$51</definedName>
    <definedName name="Student_Workstation_Ratio">'Reference Data'!$B$14</definedName>
    <definedName name="Student_Workstations">'Cost2 Calculations'!$B$9</definedName>
    <definedName name="studntnodes_perschl">'Reference Data'!$E$7</definedName>
    <definedName name="studnts_per_clsrm">'Reference Data'!$E$6</definedName>
    <definedName name="Swvu.test." localSheetId="1" hidden="1">'Complete Budget Sheet'!#REF!</definedName>
    <definedName name="Swvu.test." localSheetId="2" hidden="1">'Line Item Descriptions'!#REF!</definedName>
    <definedName name="Swvu.test1." localSheetId="1" hidden="1">'Complete Budget Sheet'!$N:$AH</definedName>
    <definedName name="Swvu.test1." localSheetId="2" hidden="1">'Line Item Descriptions'!$K:$AE</definedName>
    <definedName name="T1_DSU_Cost">'Cost2 Calculations'!$B$106</definedName>
    <definedName name="T1_Install_Cost">'Cost2 Calculations'!$B$108</definedName>
    <definedName name="T1_Monthly_Cost">'Cost2 Calculations'!$B$116</definedName>
    <definedName name="Teacher_Professional_Development">'Reference Data'!$B$124</definedName>
    <definedName name="TNodes">'Reference Data'!$B$9</definedName>
    <definedName name="Total_District" localSheetId="2">'Line Item Descriptions'!$M$140</definedName>
    <definedName name="Total_District">'Complete Budget Sheet'!$P$138</definedName>
    <definedName name="Total_District_HW" localSheetId="2">'Line Item Descriptions'!$M$72</definedName>
    <definedName name="Total_District_HW">'Complete Budget Sheet'!$P$71</definedName>
    <definedName name="Total_District_Maint" localSheetId="2">'Line Item Descriptions'!#REF!</definedName>
    <definedName name="Total_District_Maint">'Complete Budget Sheet'!#REF!</definedName>
    <definedName name="Total_District_NW" localSheetId="2">'Line Item Descriptions'!$M$97</definedName>
    <definedName name="Total_District_NW">'Complete Budget Sheet'!$P$98</definedName>
    <definedName name="Total_District_PD" localSheetId="2">'Line Item Descriptions'!#REF!</definedName>
    <definedName name="Total_District_PD">'Complete Budget Sheet'!#REF!</definedName>
    <definedName name="Total_District_SW" localSheetId="2">'Line Item Descriptions'!$M$75</definedName>
    <definedName name="Total_District_SW">'Complete Budget Sheet'!$P$74</definedName>
    <definedName name="Total_KETS" localSheetId="2">'Line Item Descriptions'!#REF!</definedName>
    <definedName name="Total_KETS">'Complete Budget Sheet'!#REF!</definedName>
    <definedName name="Total_Local_Expenses" localSheetId="2">'Line Item Descriptions'!#REF!</definedName>
    <definedName name="Total_Local_Expenses">'Complete Budget Sheet'!#REF!</definedName>
    <definedName name="Total_Match_Expenses" localSheetId="2">'Line Item Descriptions'!#REF!</definedName>
    <definedName name="Total_Match_Expenses">'Complete Budget Sheet'!#REF!</definedName>
    <definedName name="Total_School" localSheetId="2">'Line Item Descriptions'!#REF!</definedName>
    <definedName name="Total_School">'Complete Budget Sheet'!#REF!</definedName>
    <definedName name="Total_School_HW" localSheetId="2">'Line Item Descriptions'!#REF!</definedName>
    <definedName name="Total_School_HW">'Complete Budget Sheet'!#REF!</definedName>
    <definedName name="Total_School_Maint" localSheetId="2">'Line Item Descriptions'!#REF!</definedName>
    <definedName name="Total_School_Maint">'Complete Budget Sheet'!#REF!</definedName>
    <definedName name="Total_School_NW" localSheetId="2">'Line Item Descriptions'!$M$43</definedName>
    <definedName name="Total_School_NW">'Complete Budget Sheet'!$P$44</definedName>
    <definedName name="Total_School_PD" localSheetId="2">'Line Item Descriptions'!#REF!</definedName>
    <definedName name="Total_School_PD">'Complete Budget Sheet'!#REF!</definedName>
    <definedName name="Total_School_SW" localSheetId="2">'Line Item Descriptions'!#REF!</definedName>
    <definedName name="Total_School_SW">'Complete Budget Sheet'!#REF!</definedName>
    <definedName name="Total_State" localSheetId="2">'Line Item Descriptions'!#REF!</definedName>
    <definedName name="Total_State">'Complete Budget Sheet'!#REF!</definedName>
    <definedName name="Total_State_Expenses" localSheetId="2">'Line Item Descriptions'!#REF!</definedName>
    <definedName name="Total_State_Expenses">'Complete Budget Sheet'!#REF!</definedName>
    <definedName name="Total_State_HW" localSheetId="2">'Line Item Descriptions'!#REF!</definedName>
    <definedName name="Total_State_HW">'Complete Budget Sheet'!#REF!</definedName>
    <definedName name="Total_State_Maint" localSheetId="2">'Line Item Descriptions'!#REF!</definedName>
    <definedName name="Total_State_Maint">'Complete Budget Sheet'!#REF!</definedName>
    <definedName name="Total_State_NW" localSheetId="2">'Line Item Descriptions'!#REF!</definedName>
    <definedName name="Total_State_NW">'Complete Budget Sheet'!#REF!</definedName>
    <definedName name="Total_State_SW" localSheetId="2">'Line Item Descriptions'!#REF!</definedName>
    <definedName name="Total_State_SW">'Complete Budget Sheet'!#REF!</definedName>
    <definedName name="Total_Student" localSheetId="2">'Line Item Descriptions'!#REF!</definedName>
    <definedName name="Total_Student">'Complete Budget Sheet'!#REF!</definedName>
    <definedName name="Total_Student_HW" localSheetId="2">'Line Item Descriptions'!#REF!</definedName>
    <definedName name="Total_Student_HW">'Complete Budget Sheet'!#REF!</definedName>
    <definedName name="Total_Student_Maint" localSheetId="2">'Line Item Descriptions'!#REF!</definedName>
    <definedName name="Total_Student_Maint">'Complete Budget Sheet'!#REF!</definedName>
    <definedName name="Total_Student_NW" localSheetId="2">'Line Item Descriptions'!#REF!</definedName>
    <definedName name="Total_Student_NW">'Complete Budget Sheet'!#REF!</definedName>
    <definedName name="Total_Student_SW" localSheetId="2">'Line Item Descriptions'!#REF!</definedName>
    <definedName name="Total_Student_SW">'Complete Budget Sheet'!#REF!</definedName>
    <definedName name="TR_MAU_Cost">'Cost2 Calculations'!$B$103</definedName>
    <definedName name="TR_NIC_Cost">'Cost2 Calculations'!$B$23</definedName>
    <definedName name="TR_Percent">'Reference Data'!$B$19</definedName>
    <definedName name="TV_Cost">'Cost2 Calculations'!$B$60</definedName>
    <definedName name="Upgradable_Classroom_Workstations">'Reference Data'!$B$59</definedName>
    <definedName name="Upgradable_District_Office_Workstations">'Reference Data'!$B$133</definedName>
    <definedName name="Upgradable_School_Staff_Workstations">'Reference Data'!$B$77</definedName>
    <definedName name="Upgradable_Student_Workstations">'Reference Data'!$B$41</definedName>
    <definedName name="Upgrade_Workstation_Cost">'Cost2 Calculations'!$B$10</definedName>
    <definedName name="USFInternal">'Reference Data'!$B$252</definedName>
    <definedName name="USFTELCO">'Reference Data'!$B$253</definedName>
    <definedName name="Video_Cable_Cost">'Cost2 Calculations'!$E$88</definedName>
    <definedName name="VVD_Wiring_Run_Costs">'Cost2 Calculations'!$B$90</definedName>
    <definedName name="Wiring_Closet_Cost">'Cost2 Calculations'!$B$100</definedName>
    <definedName name="Wiring_Closet_School_Ratio">'Reference Data'!$B$22</definedName>
    <definedName name="Wiring_Design_Cost">'Cost2 Calculations'!$B$111</definedName>
    <definedName name="Wiring_Install_Cost">'Cost2 Calculations'!$B$112</definedName>
    <definedName name="Wiring_Runs_District_Office_Ratio">'Reference Data'!$B$26</definedName>
    <definedName name="Wiring_Runs_School_Office_Ratio">'Reference Data'!$B$25</definedName>
    <definedName name="Workstation_District_Office_Ratio">'Reference Data'!$B$17</definedName>
    <definedName name="Workstation_School_Office_Ratio">'Reference Data'!$B$16</definedName>
    <definedName name="wvu.test." localSheetId="1" hidden="1">{TRUE,TRUE,-1.25,-15.5,484.5,301.5,FALSE,TRUE,TRUE,TRUE,0,1,#N/A,1,#N/A,4.296918767507003,13.947368421052632,1,FALSE,FALSE,3,TRUE,1,FALSE,100,"Swvu.test.","ACwvu.test.",1,FALSE,FALSE,0.75,0.75,1,0.5,2,"&amp;L&amp;""Palatino""&amp;B&amp;T, &amp;D   Draft&amp;C&amp;""Palatino""&amp;24&amp;BMaster Plan Budget&amp;R&amp;""Palatino""&amp;BPage &amp;P","",FALSE,FALSE,FALSE,FALSE,1,80,#N/A,#N/A,"=R210C5:R234C10","=R1",#N/A,#N/A,FALSE,FALSE}</definedName>
    <definedName name="wvu.test." localSheetId="2" hidden="1">{TRUE,TRUE,-1.25,-15.5,484.5,301.5,FALSE,TRUE,TRUE,TRUE,0,1,#N/A,1,#N/A,4.296918767507003,13.947368421052632,1,FALSE,FALSE,3,TRUE,1,FALSE,100,"Swvu.test.","ACwvu.test.",1,FALSE,FALSE,0.75,0.75,1,0.5,2,"&amp;L&amp;""Palatino""&amp;B&amp;T, &amp;D   Draft&amp;C&amp;""Palatino""&amp;24&amp;BMaster Plan Budget&amp;R&amp;""Palatino""&amp;BPage &amp;P","",FALSE,FALSE,FALSE,FALSE,1,80,#N/A,#N/A,"=R210C5:R234C10","=R1",#N/A,#N/A,FALSE,FALSE}</definedName>
    <definedName name="wvu.test1." localSheetId="1" hidden="1">{FALSE,TRUE,-1.25,-15.5,484.5,301.5,FALSE,TRUE,TRUE,TRUE,0,5,#N/A,1,#N/A,3.720430107526882,13.947368421052632,1,FALSE,FALSE,3,TRUE,1,FALSE,100,"Swvu.test1.","ACwvu.test1.",1,FALSE,FALSE,0.75,0.75,1,0.5,2,"&amp;L&amp;""Palatino""&amp;B&amp;T, &amp;D   Draft&amp;C&amp;""Palatino""&amp;24&amp;BMaster Plan Budget&amp;R&amp;""Palatino""&amp;BPage &amp;P","",FALSE,FALSE,FALSE,FALSE,1,80,#N/A,#N/A,FALSE,FALSE,#N/A,#N/A,FALSE,FALSE}</definedName>
    <definedName name="wvu.test1." localSheetId="2" hidden="1">{FALSE,TRUE,-1.25,-15.5,484.5,301.5,FALSE,TRUE,TRUE,TRUE,0,5,#N/A,1,#N/A,3.720430107526882,13.947368421052632,1,FALSE,FALSE,3,TRUE,1,FALSE,100,"Swvu.test1.","ACwvu.test1.",1,FALSE,FALSE,0.75,0.75,1,0.5,2,"&amp;L&amp;""Palatino""&amp;B&amp;T, &amp;D   Draft&amp;C&amp;""Palatino""&amp;24&amp;BMaster Plan Budget&amp;R&amp;""Palatino""&amp;BPage &amp;P","",FALSE,FALSE,FALSE,FALSE,1,80,#N/A,#N/A,FALSE,FALSE,#N/A,#N/A,FALSE,FALSE}</definedName>
    <definedName name="Z_084D78BB_E2BC_11D3_89AB_00508B598338_.wvu.PrintArea" localSheetId="1" hidden="1">'Complete Budget Sheet'!$G$233:$O$257</definedName>
    <definedName name="Z_084D78BB_E2BC_11D3_89AB_00508B598338_.wvu.PrintArea" localSheetId="2" hidden="1">'Line Item Descriptions'!#REF!</definedName>
    <definedName name="Z_084D78BB_E2BC_11D3_89AB_00508B598338_.wvu.PrintTitles" localSheetId="1" hidden="1">'Complete Budget Sheet'!$1:$1</definedName>
    <definedName name="Z_084D78BB_E2BC_11D3_89AB_00508B598338_.wvu.PrintTitles" localSheetId="2" hidden="1">'Line Item Descriptions'!$1:$1</definedName>
    <definedName name="Z_084D79FC_E2BC_11D3_89AB_00508B598338_.wvu.PrintArea" localSheetId="1" hidden="1">'Complete Budget Sheet'!$A$198:$I$222</definedName>
    <definedName name="Z_084D79FC_E2BC_11D3_89AB_00508B598338_.wvu.PrintArea" localSheetId="2" hidden="1">'Line Item Descriptions'!#REF!</definedName>
    <definedName name="Z_084D79FC_E2BC_11D3_89AB_00508B598338_.wvu.PrintTitles" localSheetId="1" hidden="1">'Complete Budget Sheet'!$1:$1</definedName>
    <definedName name="Z_084D79FC_E2BC_11D3_89AB_00508B598338_.wvu.PrintTitles" localSheetId="2" hidden="1">'Line Item Descriptions'!$1:$1</definedName>
    <definedName name="Z_084D7B3B_E2BC_11D3_89AB_00508B598338_.wvu.PrintArea" localSheetId="1" hidden="1">'Complete Budget Sheet'!$A$196:$A$215</definedName>
    <definedName name="Z_084D7B3B_E2BC_11D3_89AB_00508B598338_.wvu.PrintArea" localSheetId="2" hidden="1">'Line Item Descriptions'!#REF!</definedName>
    <definedName name="Z_084D7B3B_E2BC_11D3_89AB_00508B598338_.wvu.PrintTitles" localSheetId="1" hidden="1">'Complete Budget Sheet'!$1:$1</definedName>
    <definedName name="Z_084D7B3B_E2BC_11D3_89AB_00508B598338_.wvu.PrintTitles" localSheetId="2" hidden="1">'Line Item Descriptions'!$1:$1</definedName>
    <definedName name="Z_084D7C6F_E2BC_11D3_89AB_00508B598338_.wvu.PrintArea" localSheetId="1" hidden="1">'Complete Budget Sheet'!$A$196:$A$215</definedName>
    <definedName name="Z_084D7C6F_E2BC_11D3_89AB_00508B598338_.wvu.PrintArea" localSheetId="2" hidden="1">'Line Item Descriptions'!#REF!</definedName>
    <definedName name="Z_084D7C6F_E2BC_11D3_89AB_00508B598338_.wvu.PrintTitles" localSheetId="1" hidden="1">'Complete Budget Sheet'!$1:$1</definedName>
    <definedName name="Z_084D7C6F_E2BC_11D3_89AB_00508B598338_.wvu.PrintTitles" localSheetId="2" hidden="1">'Line Item Descriptions'!$1:$1</definedName>
    <definedName name="Z_0DC7C029_240B_403D_9097_5E923F567622_.wvu.PrintArea" localSheetId="1" hidden="1">'Complete Budget Sheet'!$I$232:$Q$256</definedName>
    <definedName name="Z_0DC7C029_240B_403D_9097_5E923F567622_.wvu.PrintArea" localSheetId="2" hidden="1">'Line Item Descriptions'!#REF!</definedName>
    <definedName name="Z_0DC7C029_240B_403D_9097_5E923F567622_.wvu.PrintTitles" localSheetId="1" hidden="1">'Complete Budget Sheet'!$1:$1</definedName>
    <definedName name="Z_0DC7C029_240B_403D_9097_5E923F567622_.wvu.PrintTitles" localSheetId="2" hidden="1">'Line Item Descriptions'!$1:$1</definedName>
    <definedName name="Z_16D51ED0_DD89_11D3_89AB_00508B598338_.wvu.PrintArea" localSheetId="1" hidden="1">'Complete Budget Sheet'!#REF!</definedName>
    <definedName name="Z_16D51ED0_DD89_11D3_89AB_00508B598338_.wvu.PrintArea" localSheetId="2" hidden="1">'Line Item Descriptions'!#REF!</definedName>
    <definedName name="Z_16D51ED0_DD89_11D3_89AB_00508B598338_.wvu.PrintTitles" localSheetId="1" hidden="1">'Complete Budget Sheet'!$1:$1</definedName>
    <definedName name="Z_16D51ED0_DD89_11D3_89AB_00508B598338_.wvu.PrintTitles" localSheetId="2" hidden="1">'Line Item Descriptions'!$1:$1</definedName>
    <definedName name="Z_170E5D33_EADF_11D3_89AB_00508B598338_.wvu.PrintArea" localSheetId="1" hidden="1">'Complete Budget Sheet'!$I$227:$Q$251</definedName>
    <definedName name="Z_170E5D33_EADF_11D3_89AB_00508B598338_.wvu.PrintArea" localSheetId="2" hidden="1">'Line Item Descriptions'!#REF!</definedName>
    <definedName name="Z_170E5D33_EADF_11D3_89AB_00508B598338_.wvu.PrintTitles" localSheetId="1" hidden="1">'Complete Budget Sheet'!$1:$1</definedName>
    <definedName name="Z_170E5D33_EADF_11D3_89AB_00508B598338_.wvu.PrintTitles" localSheetId="2" hidden="1">'Line Item Descriptions'!$1:$1</definedName>
    <definedName name="Z_1747BB88_E51F_11D3_89AB_00508B598338_.wvu.PrintArea" localSheetId="1" hidden="1">'Complete Budget Sheet'!$G$231:$O$255</definedName>
    <definedName name="Z_1747BB88_E51F_11D3_89AB_00508B598338_.wvu.PrintArea" localSheetId="2" hidden="1">'Line Item Descriptions'!#REF!</definedName>
    <definedName name="Z_1747BB88_E51F_11D3_89AB_00508B598338_.wvu.PrintTitles" localSheetId="1" hidden="1">'Complete Budget Sheet'!$1:$1</definedName>
    <definedName name="Z_1747BB88_E51F_11D3_89AB_00508B598338_.wvu.PrintTitles" localSheetId="2" hidden="1">'Line Item Descriptions'!$1:$1</definedName>
    <definedName name="Z_18ED1BAD_D833_11D3_89AB_00508B598338_.wvu.PrintArea" localSheetId="1" hidden="1">'Complete Budget Sheet'!#REF!</definedName>
    <definedName name="Z_18ED1BAD_D833_11D3_89AB_00508B598338_.wvu.PrintArea" localSheetId="2" hidden="1">'Line Item Descriptions'!#REF!</definedName>
    <definedName name="Z_18ED1BAD_D833_11D3_89AB_00508B598338_.wvu.PrintTitles" localSheetId="1" hidden="1">'Complete Budget Sheet'!$1:$1</definedName>
    <definedName name="Z_18ED1BAD_D833_11D3_89AB_00508B598338_.wvu.PrintTitles" localSheetId="2" hidden="1">'Line Item Descriptions'!$1:$1</definedName>
    <definedName name="Z_2017BEF7_DA42_11D3_89AB_00508B598338_.wvu.PrintArea" localSheetId="1" hidden="1">'Complete Budget Sheet'!#REF!</definedName>
    <definedName name="Z_2017BEF7_DA42_11D3_89AB_00508B598338_.wvu.PrintArea" localSheetId="2" hidden="1">'Line Item Descriptions'!#REF!</definedName>
    <definedName name="Z_2017BEF7_DA42_11D3_89AB_00508B598338_.wvu.PrintTitles" localSheetId="1" hidden="1">'Complete Budget Sheet'!$1:$1</definedName>
    <definedName name="Z_2017BEF7_DA42_11D3_89AB_00508B598338_.wvu.PrintTitles" localSheetId="2" hidden="1">'Line Item Descriptions'!$1:$1</definedName>
    <definedName name="Z_2195C23D_4851_11D4_8B75_00508B597CB2_.wvu.PrintArea" localSheetId="1" hidden="1">'Complete Budget Sheet'!$I$232:$Q$256</definedName>
    <definedName name="Z_2195C23D_4851_11D4_8B75_00508B597CB2_.wvu.PrintArea" localSheetId="2" hidden="1">'Line Item Descriptions'!#REF!</definedName>
    <definedName name="Z_2195C23D_4851_11D4_8B75_00508B597CB2_.wvu.PrintTitles" localSheetId="1" hidden="1">'Complete Budget Sheet'!$1:$1</definedName>
    <definedName name="Z_2195C23D_4851_11D4_8B75_00508B597CB2_.wvu.PrintTitles" localSheetId="2" hidden="1">'Line Item Descriptions'!$1:$1</definedName>
    <definedName name="Z_265FDD83_E96D_11D3_89AB_00508B598338_.wvu.PrintArea" localSheetId="1" hidden="1">'Complete Budget Sheet'!$I$231:$Q$255</definedName>
    <definedName name="Z_265FDD83_E96D_11D3_89AB_00508B598338_.wvu.PrintArea" localSheetId="2" hidden="1">'Line Item Descriptions'!#REF!</definedName>
    <definedName name="Z_265FDD83_E96D_11D3_89AB_00508B598338_.wvu.PrintTitles" localSheetId="1" hidden="1">'Complete Budget Sheet'!$1:$1</definedName>
    <definedName name="Z_265FDD83_E96D_11D3_89AB_00508B598338_.wvu.PrintTitles" localSheetId="2" hidden="1">'Line Item Descriptions'!$1:$1</definedName>
    <definedName name="Z_282A0B9F_E130_11D3_89AB_00508B598338_.wvu.PrintArea" localSheetId="1" hidden="1">'Complete Budget Sheet'!$A$223:$E$227</definedName>
    <definedName name="Z_282A0B9F_E130_11D3_89AB_00508B598338_.wvu.PrintArea" localSheetId="2" hidden="1">'Line Item Descriptions'!#REF!</definedName>
    <definedName name="Z_282A0B9F_E130_11D3_89AB_00508B598338_.wvu.PrintTitles" localSheetId="1" hidden="1">'Complete Budget Sheet'!$1:$1</definedName>
    <definedName name="Z_282A0B9F_E130_11D3_89AB_00508B598338_.wvu.PrintTitles" localSheetId="2" hidden="1">'Line Item Descriptions'!$1:$1</definedName>
    <definedName name="Z_282A0CC3_E130_11D3_89AB_00508B598338_.wvu.PrintArea" localSheetId="1" hidden="1">'Complete Budget Sheet'!#REF!</definedName>
    <definedName name="Z_282A0CC3_E130_11D3_89AB_00508B598338_.wvu.PrintArea" localSheetId="2" hidden="1">'Line Item Descriptions'!#REF!</definedName>
    <definedName name="Z_282A0CC3_E130_11D3_89AB_00508B598338_.wvu.PrintTitles" localSheetId="1" hidden="1">'Complete Budget Sheet'!$1:$1</definedName>
    <definedName name="Z_282A0CC3_E130_11D3_89AB_00508B598338_.wvu.PrintTitles" localSheetId="2" hidden="1">'Line Item Descriptions'!$1:$1</definedName>
    <definedName name="Z_2CA55CB7_DA36_11D3_89AB_00508B598338_.wvu.PrintArea" localSheetId="1" hidden="1">'Complete Budget Sheet'!#REF!</definedName>
    <definedName name="Z_2CA55CB7_DA36_11D3_89AB_00508B598338_.wvu.PrintArea" localSheetId="2" hidden="1">'Line Item Descriptions'!#REF!</definedName>
    <definedName name="Z_2CA55CB7_DA36_11D3_89AB_00508B598338_.wvu.PrintTitles" localSheetId="1" hidden="1">'Complete Budget Sheet'!$1:$1</definedName>
    <definedName name="Z_2CA55CB7_DA36_11D3_89AB_00508B598338_.wvu.PrintTitles" localSheetId="2" hidden="1">'Line Item Descriptions'!$1:$1</definedName>
    <definedName name="Z_39FB3573_EA94_11D3_89AB_00508B598338_.wvu.PrintArea" localSheetId="1" hidden="1">'Complete Budget Sheet'!$I$231:$Q$255</definedName>
    <definedName name="Z_39FB3573_EA94_11D3_89AB_00508B598338_.wvu.PrintArea" localSheetId="2" hidden="1">'Line Item Descriptions'!#REF!</definedName>
    <definedName name="Z_39FB3573_EA94_11D3_89AB_00508B598338_.wvu.PrintTitles" localSheetId="1" hidden="1">'Complete Budget Sheet'!$1:$1</definedName>
    <definedName name="Z_39FB3573_EA94_11D3_89AB_00508B598338_.wvu.PrintTitles" localSheetId="2" hidden="1">'Line Item Descriptions'!$1:$1</definedName>
    <definedName name="Z_42180D7E_99AA_476D_9E64_CBF4BE23F33F_.wvu.PrintArea" localSheetId="1" hidden="1">'Complete Budget Sheet'!$I$232:$Q$256</definedName>
    <definedName name="Z_42180D7E_99AA_476D_9E64_CBF4BE23F33F_.wvu.PrintArea" localSheetId="2" hidden="1">'Line Item Descriptions'!#REF!</definedName>
    <definedName name="Z_42180D7E_99AA_476D_9E64_CBF4BE23F33F_.wvu.PrintTitles" localSheetId="1" hidden="1">'Complete Budget Sheet'!$1:$1</definedName>
    <definedName name="Z_42180D7E_99AA_476D_9E64_CBF4BE23F33F_.wvu.PrintTitles" localSheetId="2" hidden="1">'Line Item Descriptions'!$1:$1</definedName>
    <definedName name="Z_5A6D55F9_DD3B_11D3_89AB_00508B598338_.wvu.PrintArea" localSheetId="1" hidden="1">'Complete Budget Sheet'!#REF!</definedName>
    <definedName name="Z_5A6D55F9_DD3B_11D3_89AB_00508B598338_.wvu.PrintArea" localSheetId="2" hidden="1">'Line Item Descriptions'!#REF!</definedName>
    <definedName name="Z_5A6D55F9_DD3B_11D3_89AB_00508B598338_.wvu.PrintTitles" localSheetId="1" hidden="1">'Complete Budget Sheet'!$1:$1</definedName>
    <definedName name="Z_5A6D55F9_DD3B_11D3_89AB_00508B598338_.wvu.PrintTitles" localSheetId="2" hidden="1">'Line Item Descriptions'!$1:$1</definedName>
    <definedName name="Z_5B6A1FEB_E370_11D3_89AB_00508B598338_.wvu.PrintArea" localSheetId="1" hidden="1">'Complete Budget Sheet'!$A$196:$A$212</definedName>
    <definedName name="Z_5B6A1FEB_E370_11D3_89AB_00508B598338_.wvu.PrintArea" localSheetId="2" hidden="1">'Line Item Descriptions'!#REF!</definedName>
    <definedName name="Z_5B6A1FEB_E370_11D3_89AB_00508B598338_.wvu.PrintTitles" localSheetId="1" hidden="1">'Complete Budget Sheet'!$1:$1</definedName>
    <definedName name="Z_5B6A1FEB_E370_11D3_89AB_00508B598338_.wvu.PrintTitles" localSheetId="2" hidden="1">'Line Item Descriptions'!$1:$1</definedName>
    <definedName name="Z_5B6A2235_E370_11D3_89AB_00508B598338_.wvu.PrintArea" localSheetId="1" hidden="1">'Complete Budget Sheet'!$G$232:$N$256</definedName>
    <definedName name="Z_5B6A2235_E370_11D3_89AB_00508B598338_.wvu.PrintArea" localSheetId="2" hidden="1">'Line Item Descriptions'!#REF!</definedName>
    <definedName name="Z_5B6A2235_E370_11D3_89AB_00508B598338_.wvu.PrintTitles" localSheetId="1" hidden="1">'Complete Budget Sheet'!$1:$1</definedName>
    <definedName name="Z_5B6A2235_E370_11D3_89AB_00508B598338_.wvu.PrintTitles" localSheetId="2" hidden="1">'Line Item Descriptions'!$1:$1</definedName>
    <definedName name="Z_5B6A2341_E370_11D3_89AB_00508B598338_.wvu.PrintArea" localSheetId="1" hidden="1">'Complete Budget Sheet'!$G$232:$N$256</definedName>
    <definedName name="Z_5B6A2341_E370_11D3_89AB_00508B598338_.wvu.PrintArea" localSheetId="2" hidden="1">'Line Item Descriptions'!#REF!</definedName>
    <definedName name="Z_5B6A2341_E370_11D3_89AB_00508B598338_.wvu.PrintTitles" localSheetId="1" hidden="1">'Complete Budget Sheet'!$1:$1</definedName>
    <definedName name="Z_5B6A2341_E370_11D3_89AB_00508B598338_.wvu.PrintTitles" localSheetId="2" hidden="1">'Line Item Descriptions'!$1:$1</definedName>
    <definedName name="Z_64FE2213_EAB6_11D3_89AB_00508B598338_.wvu.PrintArea" localSheetId="1" hidden="1">'Complete Budget Sheet'!$I$231:$Q$255</definedName>
    <definedName name="Z_64FE2213_EAB6_11D3_89AB_00508B598338_.wvu.PrintArea" localSheetId="2" hidden="1">'Line Item Descriptions'!#REF!</definedName>
    <definedName name="Z_64FE2213_EAB6_11D3_89AB_00508B598338_.wvu.PrintTitles" localSheetId="1" hidden="1">'Complete Budget Sheet'!$1:$1</definedName>
    <definedName name="Z_64FE2213_EAB6_11D3_89AB_00508B598338_.wvu.PrintTitles" localSheetId="2" hidden="1">'Line Item Descriptions'!$1:$1</definedName>
    <definedName name="Z_706D2134_656D_4B74_B722_C5428E1E4152_.wvu.PrintArea" localSheetId="1" hidden="1">'Complete Budget Sheet'!$I$232:$Q$256</definedName>
    <definedName name="Z_706D2134_656D_4B74_B722_C5428E1E4152_.wvu.PrintArea" localSheetId="2" hidden="1">'Line Item Descriptions'!#REF!</definedName>
    <definedName name="Z_706D2134_656D_4B74_B722_C5428E1E4152_.wvu.PrintTitles" localSheetId="1" hidden="1">'Complete Budget Sheet'!$1:$1</definedName>
    <definedName name="Z_706D2134_656D_4B74_B722_C5428E1E4152_.wvu.PrintTitles" localSheetId="2" hidden="1">'Line Item Descriptions'!$1:$1</definedName>
    <definedName name="Z_76318AF3_E9CA_11D3_89AB_00508B598338_.wvu.PrintArea" localSheetId="1" hidden="1">'Complete Budget Sheet'!$I$231:$Q$255</definedName>
    <definedName name="Z_76318AF3_E9CA_11D3_89AB_00508B598338_.wvu.PrintArea" localSheetId="2" hidden="1">'Line Item Descriptions'!#REF!</definedName>
    <definedName name="Z_76318AF3_E9CA_11D3_89AB_00508B598338_.wvu.PrintTitles" localSheetId="1" hidden="1">'Complete Budget Sheet'!$1:$1</definedName>
    <definedName name="Z_76318AF3_E9CA_11D3_89AB_00508B598338_.wvu.PrintTitles" localSheetId="2" hidden="1">'Line Item Descriptions'!$1:$1</definedName>
    <definedName name="Z_7702D355_DE50_11D3_89AB_00508B598338_.wvu.PrintArea" localSheetId="1" hidden="1">'Complete Budget Sheet'!$A$223:$E$228</definedName>
    <definedName name="Z_7702D355_DE50_11D3_89AB_00508B598338_.wvu.PrintArea" localSheetId="2" hidden="1">'Line Item Descriptions'!#REF!</definedName>
    <definedName name="Z_7702D355_DE50_11D3_89AB_00508B598338_.wvu.PrintTitles" localSheetId="1" hidden="1">'Complete Budget Sheet'!$1:$1</definedName>
    <definedName name="Z_7702D355_DE50_11D3_89AB_00508B598338_.wvu.PrintTitles" localSheetId="2" hidden="1">'Line Item Descriptions'!$1:$1</definedName>
    <definedName name="Z_7B9C6954_EAE3_11D3_89AB_00508B598338_.wvu.PrintArea" localSheetId="1" hidden="1">'Complete Budget Sheet'!$I$227:$Q$251</definedName>
    <definedName name="Z_7B9C6954_EAE3_11D3_89AB_00508B598338_.wvu.PrintArea" localSheetId="2" hidden="1">'Line Item Descriptions'!#REF!</definedName>
    <definedName name="Z_7B9C6954_EAE3_11D3_89AB_00508B598338_.wvu.PrintTitles" localSheetId="1" hidden="1">'Complete Budget Sheet'!$1:$1</definedName>
    <definedName name="Z_7B9C6954_EAE3_11D3_89AB_00508B598338_.wvu.PrintTitles" localSheetId="2" hidden="1">'Line Item Descriptions'!$1:$1</definedName>
    <definedName name="Z_7B9C6A66_EAE3_11D3_89AB_00508B598338_.wvu.PrintArea" localSheetId="1" hidden="1">'Complete Budget Sheet'!$I$232:$Q$256</definedName>
    <definedName name="Z_7B9C6A66_EAE3_11D3_89AB_00508B598338_.wvu.PrintArea" localSheetId="2" hidden="1">'Line Item Descriptions'!#REF!</definedName>
    <definedName name="Z_7B9C6A66_EAE3_11D3_89AB_00508B598338_.wvu.PrintTitles" localSheetId="1" hidden="1">'Complete Budget Sheet'!$1:$1</definedName>
    <definedName name="Z_7B9C6A66_EAE3_11D3_89AB_00508B598338_.wvu.PrintTitles" localSheetId="2" hidden="1">'Line Item Descriptions'!$1:$1</definedName>
    <definedName name="Z_81735C13_DE05_11D3_89AB_00508B598338_.wvu.PrintArea" localSheetId="1" hidden="1">'Complete Budget Sheet'!$A$223:$E$228</definedName>
    <definedName name="Z_81735C13_DE05_11D3_89AB_00508B598338_.wvu.PrintArea" localSheetId="2" hidden="1">'Line Item Descriptions'!#REF!</definedName>
    <definedName name="Z_81735C13_DE05_11D3_89AB_00508B598338_.wvu.PrintTitles" localSheetId="1" hidden="1">'Complete Budget Sheet'!$1:$1</definedName>
    <definedName name="Z_81735C13_DE05_11D3_89AB_00508B598338_.wvu.PrintTitles" localSheetId="2" hidden="1">'Line Item Descriptions'!$1:$1</definedName>
    <definedName name="Z_85BFDF2E_E05D_11D3_89AB_00508B598338_.wvu.PrintArea" localSheetId="1" hidden="1">'Complete Budget Sheet'!$A$223:$E$228</definedName>
    <definedName name="Z_85BFDF2E_E05D_11D3_89AB_00508B598338_.wvu.PrintArea" localSheetId="2" hidden="1">'Line Item Descriptions'!#REF!</definedName>
    <definedName name="Z_85BFDF2E_E05D_11D3_89AB_00508B598338_.wvu.PrintTitles" localSheetId="1" hidden="1">'Complete Budget Sheet'!$1:$1</definedName>
    <definedName name="Z_85BFDF2E_E05D_11D3_89AB_00508B598338_.wvu.PrintTitles" localSheetId="2" hidden="1">'Line Item Descriptions'!$1:$1</definedName>
    <definedName name="Z_85F5E41F_E086_11D3_89AB_00508B598338_.wvu.PrintArea" localSheetId="1" hidden="1">'Complete Budget Sheet'!$A$223:$E$228</definedName>
    <definedName name="Z_85F5E41F_E086_11D3_89AB_00508B598338_.wvu.PrintArea" localSheetId="2" hidden="1">'Line Item Descriptions'!#REF!</definedName>
    <definedName name="Z_85F5E41F_E086_11D3_89AB_00508B598338_.wvu.PrintTitles" localSheetId="1" hidden="1">'Complete Budget Sheet'!$1:$1</definedName>
    <definedName name="Z_85F5E41F_E086_11D3_89AB_00508B598338_.wvu.PrintTitles" localSheetId="2" hidden="1">'Line Item Descriptions'!$1:$1</definedName>
    <definedName name="Z_8B4AC43F_88F4_4924_9518_E5527DB3BECE_.wvu.PrintArea" localSheetId="1" hidden="1">'Complete Budget Sheet'!$I$232:$Q$256</definedName>
    <definedName name="Z_8B4AC43F_88F4_4924_9518_E5527DB3BECE_.wvu.PrintArea" localSheetId="2" hidden="1">'Line Item Descriptions'!#REF!</definedName>
    <definedName name="Z_8B4AC43F_88F4_4924_9518_E5527DB3BECE_.wvu.PrintTitles" localSheetId="1" hidden="1">'Complete Budget Sheet'!$1:$1</definedName>
    <definedName name="Z_8B4AC43F_88F4_4924_9518_E5527DB3BECE_.wvu.PrintTitles" localSheetId="2" hidden="1">'Line Item Descriptions'!$1:$1</definedName>
    <definedName name="Z_933CFF20_85A6_11D4_8B75_00508B597CB2_.wvu.PrintArea" localSheetId="1" hidden="1">'Complete Budget Sheet'!$I$232:$Q$256</definedName>
    <definedName name="Z_933CFF20_85A6_11D4_8B75_00508B597CB2_.wvu.PrintArea" localSheetId="2" hidden="1">'Line Item Descriptions'!#REF!</definedName>
    <definedName name="Z_933CFF20_85A6_11D4_8B75_00508B597CB2_.wvu.PrintTitles" localSheetId="1" hidden="1">'Complete Budget Sheet'!$1:$1</definedName>
    <definedName name="Z_933CFF20_85A6_11D4_8B75_00508B597CB2_.wvu.PrintTitles" localSheetId="2" hidden="1">'Line Item Descriptions'!$1:$1</definedName>
    <definedName name="Z_9D558134_DFD9_11D3_89AB_00508B598338_.wvu.PrintArea" localSheetId="1" hidden="1">'Complete Budget Sheet'!$A$223:$E$228</definedName>
    <definedName name="Z_9D558134_DFD9_11D3_89AB_00508B598338_.wvu.PrintArea" localSheetId="2" hidden="1">'Line Item Descriptions'!#REF!</definedName>
    <definedName name="Z_9D558134_DFD9_11D3_89AB_00508B598338_.wvu.PrintTitles" localSheetId="1" hidden="1">'Complete Budget Sheet'!$1:$1</definedName>
    <definedName name="Z_9D558134_DFD9_11D3_89AB_00508B598338_.wvu.PrintTitles" localSheetId="2" hidden="1">'Line Item Descriptions'!$1:$1</definedName>
    <definedName name="Z_AAD1E8F5_DDA2_11D3_89AB_00508B598338_.wvu.PrintArea" localSheetId="1" hidden="1">'Complete Budget Sheet'!#REF!</definedName>
    <definedName name="Z_AAD1E8F5_DDA2_11D3_89AB_00508B598338_.wvu.PrintArea" localSheetId="2" hidden="1">'Line Item Descriptions'!#REF!</definedName>
    <definedName name="Z_AAD1E8F5_DDA2_11D3_89AB_00508B598338_.wvu.PrintTitles" localSheetId="1" hidden="1">'Complete Budget Sheet'!$1:$1</definedName>
    <definedName name="Z_AAD1E8F5_DDA2_11D3_89AB_00508B598338_.wvu.PrintTitles" localSheetId="2" hidden="1">'Line Item Descriptions'!$1:$1</definedName>
    <definedName name="Z_BA8D1BD8_DCD9_11D3_89AB_00508B598338_.wvu.PrintArea" localSheetId="1" hidden="1">'Complete Budget Sheet'!#REF!</definedName>
    <definedName name="Z_BA8D1BD8_DCD9_11D3_89AB_00508B598338_.wvu.PrintArea" localSheetId="2" hidden="1">'Line Item Descriptions'!#REF!</definedName>
    <definedName name="Z_BA8D1BD8_DCD9_11D3_89AB_00508B598338_.wvu.PrintTitles" localSheetId="1" hidden="1">'Complete Budget Sheet'!$1:$1</definedName>
    <definedName name="Z_BA8D1BD8_DCD9_11D3_89AB_00508B598338_.wvu.PrintTitles" localSheetId="2" hidden="1">'Line Item Descriptions'!$1:$1</definedName>
    <definedName name="Z_CF012A2C_E467_11D3_89AB_00508B598338_.wvu.PrintArea" localSheetId="1" hidden="1">'Complete Budget Sheet'!$G$231:$N$255</definedName>
    <definedName name="Z_CF012A2C_E467_11D3_89AB_00508B598338_.wvu.PrintArea" localSheetId="2" hidden="1">'Line Item Descriptions'!#REF!</definedName>
    <definedName name="Z_CF012A2C_E467_11D3_89AB_00508B598338_.wvu.PrintTitles" localSheetId="1" hidden="1">'Complete Budget Sheet'!$1:$1</definedName>
    <definedName name="Z_CF012A2C_E467_11D3_89AB_00508B598338_.wvu.PrintTitles" localSheetId="2" hidden="1">'Line Item Descriptions'!$1:$1</definedName>
    <definedName name="Z_D003ED23_E22D_11D3_89AB_00508B598338_.wvu.PrintArea" localSheetId="1" hidden="1">'Complete Budget Sheet'!#REF!</definedName>
    <definedName name="Z_D003ED23_E22D_11D3_89AB_00508B598338_.wvu.PrintArea" localSheetId="2" hidden="1">'Line Item Descriptions'!#REF!</definedName>
    <definedName name="Z_D003ED23_E22D_11D3_89AB_00508B598338_.wvu.PrintTitles" localSheetId="1" hidden="1">'Complete Budget Sheet'!$1:$1</definedName>
    <definedName name="Z_D003ED23_E22D_11D3_89AB_00508B598338_.wvu.PrintTitles" localSheetId="2" hidden="1">'Line Item Descriptions'!$1:$1</definedName>
    <definedName name="Z_D003EE77_E22D_11D3_89AB_00508B598338_.wvu.PrintArea" localSheetId="1" hidden="1">'Complete Budget Sheet'!$G$235:$P$259</definedName>
    <definedName name="Z_D003EE77_E22D_11D3_89AB_00508B598338_.wvu.PrintArea" localSheetId="2" hidden="1">'Line Item Descriptions'!#REF!</definedName>
    <definedName name="Z_D003EE77_E22D_11D3_89AB_00508B598338_.wvu.PrintTitles" localSheetId="1" hidden="1">'Complete Budget Sheet'!$1:$1</definedName>
    <definedName name="Z_D003EE77_E22D_11D3_89AB_00508B598338_.wvu.PrintTitles" localSheetId="2" hidden="1">'Line Item Descriptions'!$1:$1</definedName>
    <definedName name="Z_D003EF93_E22D_11D3_89AB_00508B598338_.wvu.PrintArea" localSheetId="1" hidden="1">'Complete Budget Sheet'!$G$235:$P$259</definedName>
    <definedName name="Z_D003EF93_E22D_11D3_89AB_00508B598338_.wvu.PrintArea" localSheetId="2" hidden="1">'Line Item Descriptions'!#REF!</definedName>
    <definedName name="Z_D003EF93_E22D_11D3_89AB_00508B598338_.wvu.PrintTitles" localSheetId="1" hidden="1">'Complete Budget Sheet'!$1:$1</definedName>
    <definedName name="Z_D003EF93_E22D_11D3_89AB_00508B598338_.wvu.PrintTitles" localSheetId="2" hidden="1">'Line Item Descriptions'!$1:$1</definedName>
    <definedName name="Z_D003F0AF_E22D_11D3_89AB_00508B598338_.wvu.PrintArea" localSheetId="1" hidden="1">'Complete Budget Sheet'!$G$235:$P$259</definedName>
    <definedName name="Z_D003F0AF_E22D_11D3_89AB_00508B598338_.wvu.PrintArea" localSheetId="2" hidden="1">'Line Item Descriptions'!#REF!</definedName>
    <definedName name="Z_D003F0AF_E22D_11D3_89AB_00508B598338_.wvu.PrintTitles" localSheetId="1" hidden="1">'Complete Budget Sheet'!$1:$1</definedName>
    <definedName name="Z_D003F0AF_E22D_11D3_89AB_00508B598338_.wvu.PrintTitles" localSheetId="2" hidden="1">'Line Item Descriptions'!$1:$1</definedName>
    <definedName name="Z_D26D64B0_EB7D_11D3_89AB_00508B598338_.wvu.PrintArea" localSheetId="1" hidden="1">'Complete Budget Sheet'!$I$232:$Q$256</definedName>
    <definedName name="Z_D26D64B0_EB7D_11D3_89AB_00508B598338_.wvu.PrintArea" localSheetId="2" hidden="1">'Line Item Descriptions'!#REF!</definedName>
    <definedName name="Z_D26D64B0_EB7D_11D3_89AB_00508B598338_.wvu.PrintTitles" localSheetId="1" hidden="1">'Complete Budget Sheet'!$1:$1</definedName>
    <definedName name="Z_D26D64B0_EB7D_11D3_89AB_00508B598338_.wvu.PrintTitles" localSheetId="2" hidden="1">'Line Item Descriptions'!$1:$1</definedName>
    <definedName name="Z_E0182872_DDA8_11D3_89AB_00508B598338_.wvu.PrintArea" localSheetId="1" hidden="1">'Complete Budget Sheet'!$A$223:$E$227</definedName>
    <definedName name="Z_E0182872_DDA8_11D3_89AB_00508B598338_.wvu.PrintArea" localSheetId="2" hidden="1">'Line Item Descriptions'!#REF!</definedName>
    <definedName name="Z_E0182872_DDA8_11D3_89AB_00508B598338_.wvu.PrintTitles" localSheetId="1" hidden="1">'Complete Budget Sheet'!$1:$1</definedName>
    <definedName name="Z_E0182872_DDA8_11D3_89AB_00508B598338_.wvu.PrintTitles" localSheetId="2" hidden="1">'Line Item Descriptions'!$1:$1</definedName>
    <definedName name="Z_E0182925_DDA8_11D3_89AB_00508B598338_.wvu.PrintArea" localSheetId="1" hidden="1">'Complete Budget Sheet'!$A$223:$E$228</definedName>
    <definedName name="Z_E0182925_DDA8_11D3_89AB_00508B598338_.wvu.PrintArea" localSheetId="2" hidden="1">'Line Item Descriptions'!#REF!</definedName>
    <definedName name="Z_E0182925_DDA8_11D3_89AB_00508B598338_.wvu.PrintTitles" localSheetId="1" hidden="1">'Complete Budget Sheet'!$1:$1</definedName>
    <definedName name="Z_E0182925_DDA8_11D3_89AB_00508B598338_.wvu.PrintTitles" localSheetId="2" hidden="1">'Line Item Descriptions'!$1:$1</definedName>
    <definedName name="Z_E01829DA_DDA8_11D3_89AB_00508B598338_.wvu.PrintArea" localSheetId="1" hidden="1">'Complete Budget Sheet'!$A$223:$E$228</definedName>
    <definedName name="Z_E01829DA_DDA8_11D3_89AB_00508B598338_.wvu.PrintArea" localSheetId="2" hidden="1">'Line Item Descriptions'!#REF!</definedName>
    <definedName name="Z_E01829DA_DDA8_11D3_89AB_00508B598338_.wvu.PrintTitles" localSheetId="1" hidden="1">'Complete Budget Sheet'!$1:$1</definedName>
    <definedName name="Z_E01829DA_DDA8_11D3_89AB_00508B598338_.wvu.PrintTitles" localSheetId="2" hidden="1">'Line Item Descriptions'!$1:$1</definedName>
    <definedName name="Z_E71CD433_E9FD_11D3_89AB_00508B598338_.wvu.PrintArea" localSheetId="1" hidden="1">'Complete Budget Sheet'!$I$231:$Q$255</definedName>
    <definedName name="Z_E71CD433_E9FD_11D3_89AB_00508B598338_.wvu.PrintArea" localSheetId="2" hidden="1">'Line Item Descriptions'!#REF!</definedName>
    <definedName name="Z_E71CD433_E9FD_11D3_89AB_00508B598338_.wvu.PrintTitles" localSheetId="1" hidden="1">'Complete Budget Sheet'!$1:$1</definedName>
    <definedName name="Z_E71CD433_E9FD_11D3_89AB_00508B598338_.wvu.PrintTitles" localSheetId="2" hidden="1">'Line Item Descriptions'!$1:$1</definedName>
    <definedName name="Z_EBED0B14_DFED_11D3_89AB_00508B598338_.wvu.PrintArea" localSheetId="1" hidden="1">'Complete Budget Sheet'!$A$223:$E$228</definedName>
    <definedName name="Z_EBED0B14_DFED_11D3_89AB_00508B598338_.wvu.PrintArea" localSheetId="2" hidden="1">'Line Item Descriptions'!#REF!</definedName>
    <definedName name="Z_EBED0B14_DFED_11D3_89AB_00508B598338_.wvu.PrintTitles" localSheetId="1" hidden="1">'Complete Budget Sheet'!$1:$1</definedName>
    <definedName name="Z_EBED0B14_DFED_11D3_89AB_00508B598338_.wvu.PrintTitles" localSheetId="2" hidden="1">'Line Item Descriptions'!$1:$1</definedName>
    <definedName name="Z_F51826E1_E0A2_11D3_89AB_00508B598338_.wvu.PrintArea" localSheetId="1" hidden="1">'Complete Budget Sheet'!$A$223:$E$227</definedName>
    <definedName name="Z_F51826E1_E0A2_11D3_89AB_00508B598338_.wvu.PrintArea" localSheetId="2" hidden="1">'Line Item Descriptions'!#REF!</definedName>
    <definedName name="Z_F51826E1_E0A2_11D3_89AB_00508B598338_.wvu.PrintTitles" localSheetId="1" hidden="1">'Complete Budget Sheet'!$1:$1</definedName>
    <definedName name="Z_F51826E1_E0A2_11D3_89AB_00508B598338_.wvu.PrintTitles" localSheetId="2" hidden="1">'Line Item Descriptions'!$1:$1</definedName>
    <definedName name="Z_F6DFA7F2_CD84_4712_B8C4_961D5D2F7321_.wvu.PrintArea" localSheetId="1" hidden="1">'Complete Budget Sheet'!$I$232:$Q$256</definedName>
    <definedName name="Z_F6DFA7F2_CD84_4712_B8C4_961D5D2F7321_.wvu.PrintArea" localSheetId="2" hidden="1">'Line Item Descriptions'!#REF!</definedName>
    <definedName name="Z_F6DFA7F2_CD84_4712_B8C4_961D5D2F7321_.wvu.PrintTitles" localSheetId="1" hidden="1">'Complete Budget Sheet'!$1:$1</definedName>
    <definedName name="Z_F6DFA7F2_CD84_4712_B8C4_961D5D2F7321_.wvu.PrintTitles" localSheetId="2" hidden="1">'Line Item Descriptions'!$1:$1</definedName>
    <definedName name="Z_FC421910_EB74_11D3_89AB_00508B598338_.wvu.PrintArea" localSheetId="1" hidden="1">'Complete Budget Sheet'!$I$232:$Q$256</definedName>
    <definedName name="Z_FC421910_EB74_11D3_89AB_00508B598338_.wvu.PrintArea" localSheetId="2" hidden="1">'Line Item Descriptions'!#REF!</definedName>
    <definedName name="Z_FC421910_EB74_11D3_89AB_00508B598338_.wvu.PrintTitles" localSheetId="1" hidden="1">'Complete Budget Sheet'!$1:$1</definedName>
    <definedName name="Z_FC421910_EB74_11D3_89AB_00508B598338_.wvu.PrintTitles" localSheetId="2" hidden="1">'Line Item Descriptions'!$1:$1</definedName>
  </definedNames>
  <calcPr fullCalcOnLoad="1"/>
</workbook>
</file>

<file path=xl/comments1.xml><?xml version="1.0" encoding="utf-8"?>
<comments xmlns="http://schemas.openxmlformats.org/spreadsheetml/2006/main">
  <authors>
    <author>Damon M. Jackey</author>
  </authors>
  <commentList>
    <comment ref="A8" authorId="0">
      <text>
        <r>
          <rPr>
            <b/>
            <sz val="8"/>
            <rFont val="Tahoma"/>
            <family val="2"/>
          </rPr>
          <t>Damon M. Jackey:</t>
        </r>
        <r>
          <rPr>
            <sz val="8"/>
            <rFont val="Tahoma"/>
            <family val="2"/>
          </rPr>
          <t xml:space="preserve">
This items will combine student, staff and teacher software updates for desktop machines.  </t>
        </r>
      </text>
    </comment>
    <comment ref="C8" authorId="0">
      <text>
        <r>
          <rPr>
            <b/>
            <sz val="8"/>
            <rFont val="Tahoma"/>
            <family val="2"/>
          </rPr>
          <t>Damon M. Jackey:</t>
        </r>
        <r>
          <rPr>
            <sz val="8"/>
            <rFont val="Tahoma"/>
            <family val="2"/>
          </rPr>
          <t xml:space="preserve">
This assumes there are no 1:1 install bases.
</t>
        </r>
      </text>
    </comment>
    <comment ref="A15" authorId="0">
      <text>
        <r>
          <rPr>
            <b/>
            <sz val="8"/>
            <rFont val="Tahoma"/>
            <family val="2"/>
          </rPr>
          <t>Damon M. Jackey:</t>
        </r>
        <r>
          <rPr>
            <sz val="8"/>
            <rFont val="Tahoma"/>
            <family val="2"/>
          </rPr>
          <t xml:space="preserve">
This items will combine student, staff and teacher software updates for desktop machines.  </t>
        </r>
      </text>
    </comment>
    <comment ref="A38" authorId="0">
      <text>
        <r>
          <rPr>
            <b/>
            <sz val="8"/>
            <rFont val="Tahoma"/>
            <family val="2"/>
          </rPr>
          <t>Damon M. Jackey:</t>
        </r>
        <r>
          <rPr>
            <sz val="8"/>
            <rFont val="Tahoma"/>
            <family val="2"/>
          </rPr>
          <t xml:space="preserve">
Combines Classroom Printers, Shared Instructional Laser Printers, School Staff Laser Printers and District Office Staff Laser Printers.  Also includes District Office Staff Laser Printers (enhanced capacity).</t>
        </r>
      </text>
    </comment>
    <comment ref="A42" authorId="0">
      <text>
        <r>
          <rPr>
            <b/>
            <sz val="8"/>
            <rFont val="Tahoma"/>
            <family val="2"/>
          </rPr>
          <t>Damon M. Jackey:</t>
        </r>
        <r>
          <rPr>
            <sz val="8"/>
            <rFont val="Tahoma"/>
            <family val="2"/>
          </rPr>
          <t xml:space="preserve">
The cost of purchasing extended warranty for a printer and/or repair parts for out of warranty devices.</t>
        </r>
      </text>
    </comment>
    <comment ref="A60" authorId="0">
      <text>
        <r>
          <rPr>
            <b/>
            <sz val="8"/>
            <rFont val="Tahoma"/>
            <family val="2"/>
          </rPr>
          <t>Damon M. Jackey:</t>
        </r>
        <r>
          <rPr>
            <sz val="8"/>
            <rFont val="Tahoma"/>
            <family val="2"/>
          </rPr>
          <t xml:space="preserve">
These two lline items rolled into School Wired Connections.  Average costs for trunking lines.
</t>
        </r>
      </text>
    </comment>
    <comment ref="A61" authorId="0">
      <text>
        <r>
          <rPr>
            <b/>
            <sz val="8"/>
            <rFont val="Tahoma"/>
            <family val="2"/>
          </rPr>
          <t>Damon M. Jackey:</t>
        </r>
        <r>
          <rPr>
            <sz val="8"/>
            <rFont val="Tahoma"/>
            <family val="2"/>
          </rPr>
          <t xml:space="preserve">
Do we roll this into School Wired Connections also??</t>
        </r>
      </text>
    </comment>
    <comment ref="A65" authorId="0">
      <text>
        <r>
          <rPr>
            <b/>
            <sz val="8"/>
            <rFont val="Tahoma"/>
            <family val="2"/>
          </rPr>
          <t>Damon M. Jackey:</t>
        </r>
        <r>
          <rPr>
            <sz val="8"/>
            <rFont val="Tahoma"/>
            <family val="2"/>
          </rPr>
          <t xml:space="preserve">
These two lline items rolled into School Wired Connections.  Average costs for trunking lines.</t>
        </r>
      </text>
    </comment>
    <comment ref="A80" authorId="0">
      <text>
        <r>
          <rPr>
            <b/>
            <sz val="8"/>
            <rFont val="Tahoma"/>
            <family val="2"/>
          </rPr>
          <t>Damon M. Jackey:</t>
        </r>
        <r>
          <rPr>
            <sz val="8"/>
            <rFont val="Tahoma"/>
            <family val="2"/>
          </rPr>
          <t xml:space="preserve">
Why would wee not want to list the SW updates as Discretionary as we did in Section I ???</t>
        </r>
      </text>
    </comment>
    <comment ref="A102" authorId="0">
      <text>
        <r>
          <rPr>
            <b/>
            <sz val="8"/>
            <rFont val="Tahoma"/>
            <family val="2"/>
          </rPr>
          <t>Damon M. Jackey:</t>
        </r>
        <r>
          <rPr>
            <sz val="8"/>
            <rFont val="Tahoma"/>
            <family val="2"/>
          </rPr>
          <t xml:space="preserve">
What dollar amount do we use for this?  The $1978 per wiring closet or some other total dollar amount?</t>
        </r>
      </text>
    </comment>
    <comment ref="A117" authorId="0">
      <text>
        <r>
          <rPr>
            <b/>
            <sz val="8"/>
            <rFont val="Tahoma"/>
            <family val="2"/>
          </rPr>
          <t>Damon M. Jackey:</t>
        </r>
        <r>
          <rPr>
            <sz val="8"/>
            <rFont val="Tahoma"/>
            <family val="2"/>
          </rPr>
          <t xml:space="preserve">
This combines School Staff Workstations and District Office Staff Workstations.</t>
        </r>
      </text>
    </comment>
    <comment ref="A120" authorId="0">
      <text>
        <r>
          <rPr>
            <b/>
            <sz val="8"/>
            <rFont val="Tahoma"/>
            <family val="2"/>
          </rPr>
          <t>Damon M. Jackey:</t>
        </r>
        <r>
          <rPr>
            <sz val="8"/>
            <rFont val="Tahoma"/>
            <family val="2"/>
          </rPr>
          <t xml:space="preserve">
Funding source will have to be shown as local, personal (BYOT) funding sources to meet 1:1.</t>
        </r>
      </text>
    </comment>
    <comment ref="A121" authorId="0">
      <text>
        <r>
          <rPr>
            <b/>
            <sz val="8"/>
            <rFont val="Tahoma"/>
            <family val="2"/>
          </rPr>
          <t>Damon M. Jackey:</t>
        </r>
        <r>
          <rPr>
            <sz val="8"/>
            <rFont val="Tahoma"/>
            <family val="2"/>
          </rPr>
          <t xml:space="preserve">
The cost of purchasing year 4 and 5 warranty for a workstation and/or repair parts for out of warranty devices.</t>
        </r>
      </text>
    </comment>
    <comment ref="A128" authorId="0">
      <text>
        <r>
          <rPr>
            <b/>
            <sz val="8"/>
            <rFont val="Tahoma"/>
            <family val="2"/>
          </rPr>
          <t>Damon M. Jackey:</t>
        </r>
        <r>
          <rPr>
            <sz val="8"/>
            <rFont val="Tahoma"/>
            <family val="2"/>
          </rPr>
          <t xml:space="preserve">
May be oursourced or in house staffing.  Technical support staff including break/fix, network admin, web admin/web master.</t>
        </r>
      </text>
    </comment>
    <comment ref="A157" authorId="0">
      <text>
        <r>
          <rPr>
            <b/>
            <sz val="8"/>
            <rFont val="Tahoma"/>
            <family val="2"/>
          </rPr>
          <t>Damon M. Jackey:</t>
        </r>
        <r>
          <rPr>
            <sz val="8"/>
            <rFont val="Tahoma"/>
            <family val="2"/>
          </rPr>
          <t xml:space="preserve">
McAfee,……..</t>
        </r>
      </text>
    </comment>
    <comment ref="A162" authorId="0">
      <text>
        <r>
          <rPr>
            <b/>
            <sz val="8"/>
            <rFont val="Tahoma"/>
            <family val="2"/>
          </rPr>
          <t>Damon M. Jackey:</t>
        </r>
        <r>
          <rPr>
            <sz val="8"/>
            <rFont val="Tahoma"/>
            <family val="2"/>
          </rPr>
          <t xml:space="preserve">
Move to section VII.</t>
        </r>
      </text>
    </comment>
    <comment ref="C17" authorId="0">
      <text>
        <r>
          <rPr>
            <b/>
            <sz val="8"/>
            <rFont val="Tahoma"/>
            <family val="2"/>
          </rPr>
          <t>Damon M. Jackey:</t>
        </r>
        <r>
          <rPr>
            <sz val="8"/>
            <rFont val="Tahoma"/>
            <family val="2"/>
          </rPr>
          <t xml:space="preserve">
Two line items identified in Complete Budget Sheet are not factored into this as they have no cost data listed for them at this time.</t>
        </r>
      </text>
    </comment>
  </commentList>
</comments>
</file>

<file path=xl/comments10.xml><?xml version="1.0" encoding="utf-8"?>
<comments xmlns="http://schemas.openxmlformats.org/spreadsheetml/2006/main">
  <authors>
    <author>A satisfied Microsoft Office user</author>
  </authors>
  <commentList>
    <comment ref="A24" authorId="0">
      <text>
        <r>
          <rPr>
            <sz val="8"/>
            <rFont val="Tahoma"/>
            <family val="2"/>
          </rPr>
          <t>Combined the line items Ethernet and TR Nics. However KETS only pays up to TR cost.</t>
        </r>
      </text>
    </comment>
    <comment ref="B24" authorId="0">
      <text>
        <r>
          <rPr>
            <sz val="8"/>
            <rFont val="Tahoma"/>
            <family val="2"/>
          </rPr>
          <t>Ethernet nic card is average cost of desktop card times 90%  plus average cost of portable NIC times 10%.
90% of systems are desktop
20% are Apple
10% are portable</t>
        </r>
      </text>
    </comment>
    <comment ref="C24" authorId="0">
      <text>
        <r>
          <rPr>
            <sz val="8"/>
            <rFont val="Tahoma"/>
            <family val="2"/>
          </rPr>
          <t>This the number of schools times 5 per school plus staff in the Vocational schools</t>
        </r>
      </text>
    </comment>
  </commentList>
</comments>
</file>

<file path=xl/comments11.xml><?xml version="1.0" encoding="utf-8"?>
<comments xmlns="http://schemas.openxmlformats.org/spreadsheetml/2006/main">
  <authors>
    <author>A satisfied Microsoft Office user</author>
  </authors>
  <commentList>
    <comment ref="A8" authorId="0">
      <text>
        <r>
          <rPr>
            <sz val="8"/>
            <rFont val="Tahoma"/>
            <family val="2"/>
          </rPr>
          <t xml:space="preserve">Damon:  Win 98 and NT Workstation are same price.  There is no pricing for Win 98 other than an upgrade which is what this is.
</t>
        </r>
      </text>
    </comment>
    <comment ref="A13" authorId="0">
      <text>
        <r>
          <rPr>
            <sz val="8"/>
            <rFont val="Tahoma"/>
            <family val="2"/>
          </rPr>
          <t xml:space="preserve">Damon:  This is an estimate based upon what the open Academic pricing is.
</t>
        </r>
      </text>
    </comment>
    <comment ref="A21" authorId="0">
      <text>
        <r>
          <rPr>
            <sz val="8"/>
            <rFont val="Tahoma"/>
            <family val="2"/>
          </rPr>
          <t xml:space="preserve">Damon:  This is an estimate based upon what the open Academic pricing is.
</t>
        </r>
      </text>
    </comment>
    <comment ref="A25" authorId="0">
      <text>
        <r>
          <rPr>
            <sz val="8"/>
            <rFont val="Tahoma"/>
            <family val="2"/>
          </rPr>
          <t xml:space="preserve">Damon:  Duplicate software licenses eliminated from Select Agreement costs and the costs of SLA Add On Products.
</t>
        </r>
      </text>
    </comment>
    <comment ref="A29" authorId="0">
      <text>
        <r>
          <rPr>
            <sz val="8"/>
            <rFont val="Tahoma"/>
            <family val="2"/>
          </rPr>
          <t xml:space="preserve">Damon:  Win 98 and NT Workstation are same price.
</t>
        </r>
      </text>
    </comment>
    <comment ref="B49" authorId="0">
      <text>
        <r>
          <rPr>
            <sz val="8"/>
            <rFont val="Tahoma"/>
            <family val="2"/>
          </rPr>
          <t xml:space="preserve">Damon:  Current McAfee contract includes a $10 shipping fee per order.
</t>
        </r>
      </text>
    </comment>
  </commentList>
</comments>
</file>

<file path=xl/comments12.xml><?xml version="1.0" encoding="utf-8"?>
<comments xmlns="http://schemas.openxmlformats.org/spreadsheetml/2006/main">
  <authors>
    <author>djackey</author>
  </authors>
  <commentList>
    <comment ref="C22" authorId="0">
      <text>
        <r>
          <rPr>
            <b/>
            <sz val="8"/>
            <rFont val="Tahoma"/>
            <family val="2"/>
          </rPr>
          <t>djackey:</t>
        </r>
        <r>
          <rPr>
            <sz val="8"/>
            <rFont val="Tahoma"/>
            <family val="2"/>
          </rPr>
          <t xml:space="preserve">
Used %'s from above to calculate an average maintenance cost.</t>
        </r>
      </text>
    </comment>
    <comment ref="A20" authorId="0">
      <text>
        <r>
          <rPr>
            <b/>
            <sz val="8"/>
            <rFont val="Tahoma"/>
            <family val="2"/>
          </rPr>
          <t>djackey:</t>
        </r>
        <r>
          <rPr>
            <sz val="8"/>
            <rFont val="Tahoma"/>
            <family val="2"/>
          </rPr>
          <t xml:space="preserve">
Used % of Windows and Apple from 2012 TRR to calculate an overall average.</t>
        </r>
      </text>
    </comment>
  </commentList>
</comments>
</file>

<file path=xl/comments14.xml><?xml version="1.0" encoding="utf-8"?>
<comments xmlns="http://schemas.openxmlformats.org/spreadsheetml/2006/main">
  <authors>
    <author>Damon M. Jackey</author>
  </authors>
  <commentList>
    <comment ref="BX11" authorId="0">
      <text>
        <r>
          <rPr>
            <b/>
            <sz val="8"/>
            <rFont val="Tahoma"/>
            <family val="2"/>
          </rPr>
          <t>Damon M. Jackey:</t>
        </r>
        <r>
          <rPr>
            <sz val="8"/>
            <rFont val="Tahoma"/>
            <family val="2"/>
          </rPr>
          <t xml:space="preserve">
CIO only.</t>
        </r>
      </text>
    </comment>
    <comment ref="BY11" authorId="0">
      <text>
        <r>
          <rPr>
            <b/>
            <sz val="8"/>
            <rFont val="Tahoma"/>
            <family val="2"/>
          </rPr>
          <t>Damon M. Jackey:</t>
        </r>
        <r>
          <rPr>
            <sz val="8"/>
            <rFont val="Tahoma"/>
            <family val="2"/>
          </rPr>
          <t xml:space="preserve">
CIO only.</t>
        </r>
      </text>
    </comment>
  </commentList>
</comments>
</file>

<file path=xl/comments3.xml><?xml version="1.0" encoding="utf-8"?>
<comments xmlns="http://schemas.openxmlformats.org/spreadsheetml/2006/main">
  <authors>
    <author>Damon M. Jackey</author>
  </authors>
  <commentList>
    <comment ref="C107" authorId="0">
      <text>
        <r>
          <rPr>
            <b/>
            <sz val="8"/>
            <rFont val="Tahoma"/>
            <family val="2"/>
          </rPr>
          <t>Damon M. Jackey:</t>
        </r>
        <r>
          <rPr>
            <sz val="8"/>
            <rFont val="Tahoma"/>
            <family val="2"/>
          </rPr>
          <t xml:space="preserve">
While Tim provided information based on KIH2 pricing, majority of districts do not use KIH2.</t>
        </r>
      </text>
    </comment>
    <comment ref="C106" authorId="0">
      <text>
        <r>
          <rPr>
            <b/>
            <sz val="8"/>
            <rFont val="Tahoma"/>
            <family val="2"/>
          </rPr>
          <t>Damon M. Jackey:</t>
        </r>
        <r>
          <rPr>
            <sz val="8"/>
            <rFont val="Tahoma"/>
            <family val="2"/>
          </rPr>
          <t xml:space="preserve">
Tim provided pricing from KIH2 however kept pricing at old unit costs.</t>
        </r>
      </text>
    </comment>
  </commentList>
</comments>
</file>

<file path=xl/comments6.xml><?xml version="1.0" encoding="utf-8"?>
<comments xmlns="http://schemas.openxmlformats.org/spreadsheetml/2006/main">
  <authors>
    <author>A satisfied Microsoft Office user</author>
  </authors>
  <commentList>
    <comment ref="B6" authorId="0">
      <text>
        <r>
          <rPr>
            <sz val="8"/>
            <rFont val="Tahoma"/>
            <family val="2"/>
          </rPr>
          <t xml:space="preserve">Damon:  Average price of KETS Student Workstation based upon Intel/Mac percentages.  Portables are not included in average price.
</t>
        </r>
      </text>
    </comment>
    <comment ref="B9" authorId="0">
      <text>
        <r>
          <rPr>
            <sz val="8"/>
            <rFont val="Tahoma"/>
            <family val="2"/>
          </rPr>
          <t>Includes 2-Year Warranty but not installation.  Based on weighted average of all vendor stationary prices.</t>
        </r>
      </text>
    </comment>
    <comment ref="B10" authorId="0">
      <text>
        <r>
          <rPr>
            <sz val="8"/>
            <rFont val="Tahoma"/>
            <family val="2"/>
          </rPr>
          <t>Includes upgrade of mem or monitor or hard disk space or any other item to bring up to minimum/maximum KETs standards</t>
        </r>
      </text>
    </comment>
    <comment ref="B14" authorId="0">
      <text>
        <r>
          <rPr>
            <sz val="8"/>
            <rFont val="Tahoma"/>
            <family val="2"/>
          </rPr>
          <t>Based on amont of software that may be on individual workstation as standalone or as networkable software. price assumes discounts based on volume purchases. Teachers will determine the type of software required for the student workstations.</t>
        </r>
      </text>
    </comment>
    <comment ref="B19" authorId="0">
      <text>
        <r>
          <rPr>
            <sz val="8"/>
            <rFont val="Tahoma"/>
            <family val="2"/>
          </rPr>
          <t>Ethernet nic card is average cost of desktop card times 90%  plus average cost of portable NIC times 10%.
90% of systems are desktop
20% are Apple
10% are portable</t>
        </r>
      </text>
    </comment>
    <comment ref="B23" authorId="0">
      <text>
        <r>
          <rPr>
            <sz val="8"/>
            <rFont val="Tahoma"/>
            <family val="2"/>
          </rPr>
          <t>Average of Token Ring NIC costs submitted with student stationary configurations</t>
        </r>
      </text>
    </comment>
    <comment ref="C28" authorId="0">
      <text>
        <r>
          <rPr>
            <sz val="8"/>
            <rFont val="Tahoma"/>
            <family val="2"/>
          </rPr>
          <t xml:space="preserve">Coleman: Level 1 Portables with Celeron will drop to approx 1,000 with Monitor, 1 yr warranty and Install
</t>
        </r>
      </text>
    </comment>
    <comment ref="B29" authorId="0">
      <text>
        <r>
          <rPr>
            <sz val="8"/>
            <rFont val="Tahoma"/>
            <family val="2"/>
          </rPr>
          <t xml:space="preserve">Damon:  Average price of KETS Classroom Workstation based upon Intel/Mac percentages.  Portables are included in average price based upon a 93.7% to 6.3% comparison of Workstation to Portable.
</t>
        </r>
      </text>
    </comment>
    <comment ref="B32" authorId="0">
      <text>
        <r>
          <rPr>
            <sz val="8"/>
            <rFont val="Tahoma"/>
            <family val="2"/>
          </rPr>
          <t>Includes 2-Year Warranty but not installation.  Based on weighted average of all vendor stationary prices.</t>
        </r>
      </text>
    </comment>
    <comment ref="B33" authorId="0">
      <text>
        <r>
          <rPr>
            <sz val="8"/>
            <rFont val="Tahoma"/>
            <family val="2"/>
          </rPr>
          <t>Same explanation as student workstation upgrade</t>
        </r>
      </text>
    </comment>
    <comment ref="B34" authorId="0">
      <text>
        <r>
          <rPr>
            <sz val="8"/>
            <rFont val="Tahoma"/>
            <family val="2"/>
          </rPr>
          <t>Includes 2-Year Warranty but not installation.  Based on weighted average of all vendor stationary prices.</t>
        </r>
      </text>
    </comment>
    <comment ref="B42" authorId="0">
      <text>
        <r>
          <rPr>
            <sz val="8"/>
            <rFont val="Tahoma"/>
            <family val="2"/>
          </rPr>
          <t>Includes 2-Year Warranty but not installation.  Based on weighted average of all vendor prices.</t>
        </r>
      </text>
    </comment>
    <comment ref="B49" authorId="0">
      <text>
        <r>
          <rPr>
            <sz val="8"/>
            <rFont val="Tahoma"/>
            <family val="2"/>
          </rPr>
          <t>Includes 2-Year Warranty but not installation.  Based on weighted average of all vendor prices.</t>
        </r>
      </text>
    </comment>
    <comment ref="B56" authorId="0">
      <text>
        <r>
          <rPr>
            <sz val="8"/>
            <rFont val="Tahoma"/>
            <family val="2"/>
          </rPr>
          <t>Includes 2-Year Warranty but not installation.  Based on weighted average of all vendor prices.</t>
        </r>
      </text>
    </comment>
    <comment ref="D58" authorId="0">
      <text>
        <r>
          <rPr>
            <sz val="8"/>
            <rFont val="Tahoma"/>
            <family val="2"/>
          </rPr>
          <t>This includes fileserver plus ethernet card plus hard drive upgrade plus  RAM upgrade plus tape backup unit plus virus software. And a two year warranty.</t>
        </r>
      </text>
    </comment>
    <comment ref="E58" authorId="0">
      <text>
        <r>
          <rPr>
            <sz val="8"/>
            <rFont val="Tahoma"/>
            <family val="2"/>
          </rPr>
          <t>This includes fileserver plus ethernet card plus hard drive upgrade plus  RAM upgrade plus tape backup unit plus virus software. And a two year warranty.</t>
        </r>
      </text>
    </comment>
    <comment ref="B59" authorId="0">
      <text>
        <r>
          <rPr>
            <sz val="8"/>
            <rFont val="Tahoma"/>
            <family val="2"/>
          </rPr>
          <t>This includes fileserver plus ethernet card plus hard drive upgrade plus  RAM upgrade plus tape backup unit plus virus software plus ethernet port connection. And a two year warranty.</t>
        </r>
      </text>
    </comment>
    <comment ref="B60" authorId="0">
      <text>
        <r>
          <rPr>
            <sz val="8"/>
            <rFont val="Tahoma"/>
            <family val="2"/>
          </rPr>
          <t>Based on KET price contract Quote.  $387for 25" TV receiver/ monitor. Includes 1 year parts, 1 year labor. 2 year picture tube warranty. twenty foot power cord.  Plus $129 for TV stand($119 for wall mounted bracket)</t>
        </r>
      </text>
    </comment>
    <comment ref="B61" authorId="0">
      <text>
        <r>
          <rPr>
            <sz val="8"/>
            <rFont val="Tahoma"/>
            <family val="2"/>
          </rPr>
          <t>See New Classroom workstation.</t>
        </r>
      </text>
    </comment>
    <comment ref="B63" authorId="0">
      <text>
        <r>
          <rPr>
            <sz val="8"/>
            <rFont val="Tahoma"/>
            <family val="2"/>
          </rPr>
          <t>See Classroom Dot Matrix</t>
        </r>
      </text>
    </comment>
    <comment ref="B70" authorId="0">
      <text>
        <r>
          <rPr>
            <sz val="8"/>
            <rFont val="Tahoma"/>
            <family val="2"/>
          </rPr>
          <t>Includes 2-Year Warranty but not installation.  Based on weighted average of all vendor prices.</t>
        </r>
      </text>
    </comment>
    <comment ref="D72" authorId="0">
      <text>
        <r>
          <rPr>
            <sz val="8"/>
            <rFont val="Tahoma"/>
            <family val="2"/>
          </rPr>
          <t>This includes fileserver plus ethernet card plus hard drive upgrade plus  RAM upgrade plus tape backup unit plus virus software. And a two year warranty.</t>
        </r>
      </text>
    </comment>
    <comment ref="E72" authorId="0">
      <text>
        <r>
          <rPr>
            <sz val="8"/>
            <rFont val="Tahoma"/>
            <family val="2"/>
          </rPr>
          <t>This includes fileserver plus ethernet card plus hard drive upgrade plus  RAM upgrade plus tape backup unit plus virus software. And a two year warranty.</t>
        </r>
      </text>
    </comment>
    <comment ref="B73" authorId="0">
      <text>
        <r>
          <rPr>
            <sz val="8"/>
            <rFont val="Tahoma"/>
            <family val="2"/>
          </rPr>
          <t>This includes fileserver plus ethernet card plus hard drive upgrade plus  RAM upgrade plus tape backup unit plus virus software. And a two year warranty. The difference between this and the classroom fileserver is we have added an additional 600MB for storage of admin and classroom admin data. This also includes data ethernet port connection.</t>
        </r>
      </text>
    </comment>
    <comment ref="B78" authorId="0">
      <text>
        <r>
          <rPr>
            <sz val="8"/>
            <rFont val="Tahoma"/>
            <family val="2"/>
          </rPr>
          <t>Based on Novell's Cost of 5 user license($550). (100)</t>
        </r>
      </text>
    </comment>
    <comment ref="B79" authorId="0">
      <text>
        <r>
          <rPr>
            <sz val="8"/>
            <rFont val="Tahoma"/>
            <family val="2"/>
          </rPr>
          <t xml:space="preserve">Based 0n Novells cost of 3500 per 100 users plus, $0 for schools that have over 5 MACS in school, plus documentation for 3.12. Its estimed 20% of a school will be MAC. Thats 20 MACS for average school. Install will be at no charge or done by KRE.  1 year support and installation will be free.  </t>
        </r>
      </text>
    </comment>
    <comment ref="E87" authorId="0">
      <text>
        <r>
          <rPr>
            <sz val="8"/>
            <rFont val="Tahoma"/>
            <family val="2"/>
          </rPr>
          <t>Per foot cost for Level 5 4-pair wire.  This is PVC wire with conduit.  Plenum wire will run about .25/ft.</t>
        </r>
      </text>
    </comment>
    <comment ref="F87" authorId="0">
      <text>
        <r>
          <rPr>
            <sz val="8"/>
            <rFont val="Tahoma"/>
            <family val="2"/>
          </rPr>
          <t>This is a Level 5 RJ45 Jack.</t>
        </r>
      </text>
    </comment>
    <comment ref="B102" authorId="0">
      <text>
        <r>
          <rPr>
            <sz val="8"/>
            <rFont val="Tahoma"/>
            <family val="2"/>
          </rPr>
          <t>This number is the cost per port for the average Ethernet concentrator. $1553 is from Shelby County Bid.</t>
        </r>
      </text>
    </comment>
    <comment ref="B103" authorId="0">
      <text>
        <r>
          <rPr>
            <sz val="8"/>
            <rFont val="Tahoma"/>
            <family val="2"/>
          </rPr>
          <t>This is the average cost per port for Token Ring MAU.  $1569 is from Shelby County Bid.</t>
        </r>
      </text>
    </comment>
    <comment ref="B104" authorId="0">
      <text>
        <r>
          <rPr>
            <sz val="8"/>
            <rFont val="Tahoma"/>
            <family val="2"/>
          </rPr>
          <t>This bridge is a multiprotocol device that can connect token ring to Ethernet networks. This is not a Token Ring to Token ring or Ethernet to Ethernet Bridge. It is not a bridge to segmet traffic.                            A token ring and Ethernet card may also be placed in the fileserver at the same time to do the same thing. However this is only acceptable if very little traffic will be done on the Ethernet segment to the Token Ring segment. If most of the traffic is directly to the server then this is OK.</t>
        </r>
      </text>
    </comment>
    <comment ref="B105" authorId="0">
      <text>
        <r>
          <rPr>
            <sz val="8"/>
            <rFont val="Tahoma"/>
            <family val="2"/>
          </rPr>
          <t>Based on data received from DIS Wellfleet Router.</t>
        </r>
      </text>
    </comment>
    <comment ref="B106" authorId="0">
      <text>
        <r>
          <rPr>
            <sz val="8"/>
            <rFont val="Tahoma"/>
            <family val="2"/>
          </rPr>
          <t>Based on state price contract for Data Com devices.</t>
        </r>
      </text>
    </comment>
    <comment ref="B107" authorId="0">
      <text>
        <r>
          <rPr>
            <sz val="8"/>
            <rFont val="Tahoma"/>
            <family val="2"/>
          </rPr>
          <t>Based on average of costs collected from state price contracts and magazines.</t>
        </r>
      </text>
    </comment>
    <comment ref="B108" authorId="0">
      <text>
        <r>
          <rPr>
            <sz val="8"/>
            <rFont val="Tahoma"/>
            <family val="2"/>
          </rPr>
          <t>This is for a T1 line. 56KB is $350-450.</t>
        </r>
      </text>
    </comment>
    <comment ref="B109" authorId="0">
      <text>
        <r>
          <rPr>
            <sz val="8"/>
            <rFont val="Tahoma"/>
            <family val="2"/>
          </rPr>
          <t>It is anticipated most schools will not need a full dedicated async server with larger modem pools, serial printers, and dumb terminal ports.  Novell sells a 2 port ($595)and 8 port(2195) device that hooks directly into a fileserver of workstation to handle a low number of modems. The MACs clients will also need AppleTalk remote access software($199).</t>
        </r>
      </text>
    </comment>
    <comment ref="B110" authorId="0">
      <text>
        <r>
          <rPr>
            <sz val="8"/>
            <rFont val="Tahoma"/>
            <family val="2"/>
          </rPr>
          <t>Based on data from Shelby County bid. Competition should drive prices down.</t>
        </r>
      </text>
    </comment>
    <comment ref="B111" authorId="0">
      <text>
        <r>
          <rPr>
            <sz val="8"/>
            <rFont val="Tahoma"/>
            <family val="2"/>
          </rPr>
          <t>$5000  is from the Average Costs Today being paid by Districts.</t>
        </r>
      </text>
    </comment>
    <comment ref="B112" authorId="0">
      <text>
        <r>
          <rPr>
            <sz val="8"/>
            <rFont val="Tahoma"/>
            <family val="2"/>
          </rPr>
          <t>$10,000 is from average costs for districts that they are paying now.</t>
        </r>
      </text>
    </comment>
    <comment ref="B113" authorId="0">
      <text>
        <r>
          <rPr>
            <sz val="8"/>
            <rFont val="Tahoma"/>
            <family val="2"/>
          </rPr>
          <t>From Jay Vetter AT&amp;T. based on $400 per port and 35-40 voice ports per school.</t>
        </r>
      </text>
    </comment>
    <comment ref="B114" authorId="0">
      <text>
        <r>
          <rPr>
            <sz val="8"/>
            <rFont val="Tahoma"/>
            <family val="2"/>
          </rPr>
          <t>This is just a simple phone nothing fancy. Just the basics. This has been upgraded to a simple phone or cordless phone.</t>
        </r>
      </text>
    </comment>
    <comment ref="B116" authorId="0">
      <text>
        <r>
          <rPr>
            <sz val="8"/>
            <rFont val="Tahoma"/>
            <family val="2"/>
          </rPr>
          <t>based on $160 per month for 12 months</t>
        </r>
      </text>
    </comment>
    <comment ref="B117" authorId="0">
      <text>
        <r>
          <rPr>
            <sz val="8"/>
            <rFont val="Tahoma"/>
            <family val="2"/>
          </rPr>
          <t>Based on $25 per line for 12 months. Average of 25 lines.</t>
        </r>
      </text>
    </comment>
    <comment ref="B128" authorId="0">
      <text>
        <r>
          <rPr>
            <sz val="8"/>
            <rFont val="Tahoma"/>
            <family val="2"/>
          </rPr>
          <t>Includes 2-Year Warranty but not installation.  Based on weighted average of all vendor prices.  Includes Ethernet card.</t>
        </r>
      </text>
    </comment>
    <comment ref="B129" authorId="0">
      <text>
        <r>
          <rPr>
            <sz val="8"/>
            <rFont val="Tahoma"/>
            <family val="2"/>
          </rPr>
          <t>This a pure estimate. High end Unix based systems can run anywhere from 12 to 25K.</t>
        </r>
      </text>
    </comment>
    <comment ref="B143" authorId="0">
      <text>
        <r>
          <rPr>
            <sz val="8"/>
            <rFont val="Tahoma"/>
            <family val="2"/>
          </rPr>
          <t xml:space="preserve">This is based on taking the estimated cost of the Wellfleet End/Intermediate Router and dividing it by the number of digital phone line ports it has. Cost came to $2000 per port. </t>
        </r>
      </text>
    </comment>
    <comment ref="B146" authorId="0">
      <text>
        <r>
          <rPr>
            <sz val="8"/>
            <rFont val="Tahoma"/>
            <family val="2"/>
          </rPr>
          <t>Based on data received from DIS price contract.</t>
        </r>
      </text>
    </comment>
    <comment ref="B147" authorId="0">
      <text>
        <r>
          <rPr>
            <sz val="8"/>
            <rFont val="Tahoma"/>
            <family val="2"/>
          </rPr>
          <t>Based on data received from Jay Vetter of South central Bell.</t>
        </r>
      </text>
    </comment>
  </commentList>
</comments>
</file>

<file path=xl/comments7.xml><?xml version="1.0" encoding="utf-8"?>
<comments xmlns="http://schemas.openxmlformats.org/spreadsheetml/2006/main">
  <authors>
    <author>A satisfied Microsoft Office user</author>
  </authors>
  <commentList>
    <comment ref="B2" authorId="0">
      <text>
        <r>
          <rPr>
            <sz val="8"/>
            <rFont val="Tahoma"/>
            <family val="2"/>
          </rPr>
          <t xml:space="preserve">Coleman: Districts = 176 and KSB and KSD = 178
</t>
        </r>
      </text>
    </comment>
    <comment ref="B3" authorId="0">
      <text>
        <r>
          <rPr>
            <sz val="8"/>
            <rFont val="Tahoma"/>
            <family val="2"/>
          </rPr>
          <t xml:space="preserve">Coleman:
Includes '93-'99 data evaluation of school counts of A1, A2,A3, A4, A5 and A6 type schools. 
This number is down from 1392 in the 98 update.
Does NOT Include WorkForce Voc Schools (52).  Does include locally owned and ran Technical centers 1352 + 13 = 1365 total for 2000 Update Count.
Old Note:
Roughly for the past 10 years, the same number of schools being built equals the number of schools being torn down/consolidated/sold etc. The  count remains close to the same.  However with the ADA dropping the number of schools may start getting smaller.   You do have significant growth in about 2% of the districts(Oldham, Scott, Anderson) that will have more built than torn down. </t>
        </r>
      </text>
    </comment>
    <comment ref="E3" authorId="0">
      <text>
        <r>
          <rPr>
            <sz val="8"/>
            <rFont val="Tahoma"/>
            <family val="2"/>
          </rPr>
          <t>Average Classrooms per school.</t>
        </r>
      </text>
    </comment>
    <comment ref="B4" authorId="0">
      <text>
        <r>
          <rPr>
            <sz val="8"/>
            <rFont val="Tahoma"/>
            <family val="2"/>
          </rPr>
          <t>From School Membership and Org Report 1996-1997 plus number of FRYSC teachers plus number of Vocational teachers
old note...
From report obtained from Wendell McCourt.  Included in this count is category from report labeled Full-Time Teachers.  Note that information does not correspond directly with KDE report, "Public School Salaries, '92-'93".</t>
        </r>
      </text>
    </comment>
    <comment ref="E4" authorId="0">
      <text>
        <r>
          <rPr>
            <sz val="8"/>
            <rFont val="Tahoma"/>
            <family val="2"/>
          </rPr>
          <t>Number of teachers that will not have workstations paid for. Its 1 per classroom not 1 per teacher.</t>
        </r>
      </text>
    </comment>
    <comment ref="B5" authorId="0">
      <text>
        <r>
          <rPr>
            <sz val="8"/>
            <rFont val="Tahoma"/>
            <family val="2"/>
          </rPr>
          <t>Number of schools* 5  
plus  # of district offices times 10 plus # of FRYSC teachers(these folks are Cabinet of  Human Resource) plus # of Vocational Classrooms + number of Vocational staff
From report obtained from Wendell McCourt.  Included in this count are categories from report labeled Superintendents, Asst Superintendents, Asst Supt-Director, Finance Officers, Other Admin Personnel, Supervisors, Pupil Personnel, Principals, Guidance Counselors, Clerical.  Note that information does not correspond directly with KDE report, "Public School Salaries, '92-'93".</t>
        </r>
      </text>
    </comment>
    <comment ref="E5" authorId="0">
      <text>
        <r>
          <rPr>
            <sz val="8"/>
            <rFont val="Tahoma"/>
            <family val="2"/>
          </rPr>
          <t>This is number of administrators getting workstations. You can see 5,204 will not get workstations paid by KETS funds.</t>
        </r>
      </text>
    </comment>
    <comment ref="B6" authorId="0">
      <text>
        <r>
          <rPr>
            <sz val="8"/>
            <rFont val="Tahoma"/>
            <family val="2"/>
          </rPr>
          <t>'92-'93 Instructional Rooms in K12 schools plus classrooms(there are 529) in 69 vocational schools plus # of classrooms in 687 FRYSCs.</t>
        </r>
      </text>
    </comment>
    <comment ref="E6" authorId="0">
      <text>
        <r>
          <rPr>
            <sz val="8"/>
            <rFont val="Tahoma"/>
            <family val="2"/>
          </rPr>
          <t>Average students per classroom</t>
        </r>
      </text>
    </comment>
    <comment ref="B7" authorId="0">
      <text>
        <r>
          <rPr>
            <sz val="8"/>
            <rFont val="Tahoma"/>
            <family val="2"/>
          </rPr>
          <t>From KDE Finance, estimated future students.
New Data:
98-99 ADA is 568,576
Enrollment is 653,976
MidPoint is 611,276
Old Note:
This is the midpoint between ADA of 570,000 and average enrollment of 623,641. ADA dropped 8581 between 1992 and 1997.</t>
        </r>
      </text>
    </comment>
    <comment ref="E7" authorId="0">
      <text>
        <r>
          <rPr>
            <sz val="8"/>
            <rFont val="Tahoma"/>
            <family val="2"/>
          </rPr>
          <t>This is the average number of student nodes per school based on student to workstation ratio.</t>
        </r>
      </text>
    </comment>
    <comment ref="B8" authorId="0">
      <text>
        <r>
          <rPr>
            <sz val="8"/>
            <rFont val="Tahoma"/>
            <family val="2"/>
          </rPr>
          <t>This is students data lines plus teacher data line plus admin staff data line plus classroom voice line plus classroom video line plus instructional servers plus admin servers plus dial-up routers plus instruction laser printers plus admin printers plus CDROM tower. 
Admin staff phone lines and lines for teachers above the number of classrooms paid locally.</t>
        </r>
      </text>
    </comment>
    <comment ref="B9" authorId="0">
      <text>
        <r>
          <rPr>
            <sz val="8"/>
            <rFont val="Tahoma"/>
            <family val="2"/>
          </rPr>
          <t>This is students data lines plus teacher data line plus admin staff data line plus classroom voice line plus classroom video line plus instructional servers plus admin servers plus dial-up routers plus instruction laser printers plus admin printers plus CDROM tower. 
Admin staff phone lines and lines for teachers above the number of classrooms paid locally.</t>
        </r>
      </text>
    </comment>
    <comment ref="B10" authorId="0">
      <text>
        <r>
          <rPr>
            <sz val="8"/>
            <rFont val="Tahoma"/>
            <family val="2"/>
          </rPr>
          <t>Number of students divided by 6 plus number of classrooms plus number of admin staff(1368*5)</t>
        </r>
      </text>
    </comment>
    <comment ref="B11" authorId="0">
      <text>
        <r>
          <rPr>
            <sz val="8"/>
            <rFont val="Tahoma"/>
            <family val="2"/>
          </rPr>
          <t xml:space="preserve">This is for flexibility.  We want the schools to have enough lines to put extra lines in certain rooms(labs, library, coach's office) at their choice.   So we added another 50% of the # of student, classroom and staff drops to the number of basic drops for 1 to 6 ratio, and # of classroom and 5 per school for staff, plus number of fileservers plus number of dial-up routers plus instructional lasers + administrative lasers + CDROM Tower
</t>
        </r>
      </text>
    </comment>
    <comment ref="B12" authorId="0">
      <text>
        <r>
          <rPr>
            <sz val="8"/>
            <rFont val="Tahoma"/>
            <family val="2"/>
          </rPr>
          <t xml:space="preserve">This is for flexibilit.  We want the schools to have enough lines to put extra lines in certain rooms(labs, library, coach's office) at their choice.   So we added another 50% of the # of student, classroom and staff drops to the number of basic drops for 1 to 6 ratio, and # of classroom and 5 per school for staff, plus number of fileservers plus number of dial-up routers plus instructional lasers + administrative lasers + CDROM Tower  Plus number of voice lines plus # of video lines
</t>
        </r>
      </text>
    </comment>
    <comment ref="B13" authorId="0">
      <text>
        <r>
          <rPr>
            <sz val="8"/>
            <rFont val="Tahoma"/>
            <family val="2"/>
          </rPr>
          <t xml:space="preserve">Everyone within school should have access to school(student nodes, teacher nodes, staff nodes) instructional server..=139246. However only teachers and staff need access to admin server=(36518+1363*5). Add those two numbers together and you get 179,642. </t>
        </r>
      </text>
    </comment>
    <comment ref="E36" authorId="0">
      <text>
        <r>
          <rPr>
            <sz val="8"/>
            <rFont val="Tahoma"/>
            <family val="2"/>
          </rPr>
          <t>From KDE Finance, verified ADA for '92-'93.</t>
        </r>
      </text>
    </comment>
    <comment ref="E63" authorId="0">
      <text>
        <r>
          <rPr>
            <sz val="8"/>
            <rFont val="Tahoma"/>
            <family val="2"/>
          </rPr>
          <t xml:space="preserve">Is number schools minus plus (22% times number of schools).
Anything above 700 enrollment and 600 ADA.
 </t>
        </r>
      </text>
    </comment>
    <comment ref="E64" authorId="0">
      <text>
        <r>
          <rPr>
            <sz val="8"/>
            <rFont val="Tahoma"/>
            <family val="2"/>
          </rPr>
          <t>Existing count is 1/2 of laser printers counted.  Remaining 1/2 is in school staff laser printers.</t>
        </r>
      </text>
    </comment>
    <comment ref="E66" authorId="0">
      <text>
        <r>
          <rPr>
            <sz val="8"/>
            <rFont val="Tahoma"/>
            <family val="2"/>
          </rPr>
          <t>Classroom workstations plus another 22% for larger schools.</t>
        </r>
      </text>
    </comment>
    <comment ref="E73" authorId="0">
      <text>
        <r>
          <rPr>
            <sz val="8"/>
            <rFont val="Tahoma"/>
            <family val="2"/>
          </rPr>
          <t>Number of K-12 schools plus number of Vocational school staff</t>
        </r>
      </text>
    </comment>
    <comment ref="B95" authorId="0">
      <text>
        <r>
          <rPr>
            <sz val="8"/>
            <rFont val="Tahoma"/>
            <family val="2"/>
          </rPr>
          <t>Based on 93-94 data received from schools.</t>
        </r>
      </text>
    </comment>
    <comment ref="B98" authorId="0">
      <text>
        <r>
          <rPr>
            <sz val="8"/>
            <rFont val="Tahoma"/>
            <family val="2"/>
          </rPr>
          <t>Number of schools * ratio plus 1 for each vocational school</t>
        </r>
      </text>
    </comment>
    <comment ref="B100" authorId="0">
      <text>
        <r>
          <rPr>
            <sz val="8"/>
            <rFont val="Tahoma"/>
            <family val="2"/>
          </rPr>
          <t>This formula is not used.. we use price per port now.Its listed later on.</t>
        </r>
      </text>
    </comment>
    <comment ref="B101" authorId="0">
      <text>
        <r>
          <rPr>
            <sz val="8"/>
            <rFont val="Tahoma"/>
            <family val="2"/>
          </rPr>
          <t>Same as concentrator</t>
        </r>
      </text>
    </comment>
    <comment ref="B102" authorId="0">
      <text>
        <r>
          <rPr>
            <sz val="8"/>
            <rFont val="Tahoma"/>
            <family val="2"/>
          </rPr>
          <t>Based on number of schools we estimate will need bridge to connect Token Ring Labs to Ethernet environment.</t>
        </r>
      </text>
    </comment>
    <comment ref="B103" authorId="0">
      <text>
        <r>
          <rPr>
            <sz val="8"/>
            <rFont val="Tahoma"/>
            <family val="2"/>
          </rPr>
          <t>Number for K12 schools plus the vocational school</t>
        </r>
      </text>
    </comment>
    <comment ref="B104" authorId="0">
      <text>
        <r>
          <rPr>
            <sz val="8"/>
            <rFont val="Tahoma"/>
            <family val="2"/>
          </rPr>
          <t>Number for K12 schools plus the vocational school</t>
        </r>
      </text>
    </comment>
    <comment ref="B106" authorId="0">
      <text>
        <r>
          <rPr>
            <sz val="8"/>
            <rFont val="Tahoma"/>
            <family val="2"/>
          </rPr>
          <t>Number for K12 schools plus the vocational school</t>
        </r>
      </text>
    </comment>
    <comment ref="B107" authorId="0">
      <text>
        <r>
          <rPr>
            <sz val="8"/>
            <rFont val="Tahoma"/>
            <family val="2"/>
          </rPr>
          <t>Number for K12 schools plus the vocational school</t>
        </r>
      </text>
    </comment>
    <comment ref="B112" authorId="0">
      <text>
        <r>
          <rPr>
            <sz val="8"/>
            <rFont val="Tahoma"/>
            <family val="2"/>
          </rPr>
          <t>Number for K12 schools plus the vocational school</t>
        </r>
      </text>
    </comment>
    <comment ref="B150" authorId="0">
      <text>
        <r>
          <rPr>
            <sz val="8"/>
            <rFont val="Tahoma"/>
            <family val="2"/>
          </rPr>
          <t>One for each workstation</t>
        </r>
      </text>
    </comment>
  </commentList>
</comments>
</file>

<file path=xl/comments8.xml><?xml version="1.0" encoding="utf-8"?>
<comments xmlns="http://schemas.openxmlformats.org/spreadsheetml/2006/main">
  <authors>
    <author>A satisfied Microsoft Office user</author>
  </authors>
  <commentList>
    <comment ref="B12" authorId="0">
      <text>
        <r>
          <rPr>
            <sz val="8"/>
            <rFont val="Tahoma"/>
            <family val="2"/>
          </rPr>
          <t>Dropped this from $10,200 because its unknown.</t>
        </r>
      </text>
    </comment>
    <comment ref="G21" authorId="0">
      <text>
        <r>
          <rPr>
            <sz val="8"/>
            <rFont val="Tahoma"/>
            <family val="2"/>
          </rPr>
          <t>Phil Coleman, Director Systems Support Services:
30% of the KETS Help Desk is elgible for USF.</t>
        </r>
      </text>
    </comment>
    <comment ref="B42" authorId="0">
      <text>
        <r>
          <rPr>
            <sz val="8"/>
            <rFont val="Tahoma"/>
            <family val="2"/>
          </rPr>
          <t xml:space="preserve">Phil Coleman, Director Systems Support Services: Personel Cost - Janet Gleason, Jill Page, Robert Rarhig, and Todd Allen Positions. $355,550  Plus Munis Special programming cost for Kentucky approx $130,000 per year
</t>
        </r>
      </text>
    </comment>
  </commentList>
</comments>
</file>

<file path=xl/comments9.xml><?xml version="1.0" encoding="utf-8"?>
<comments xmlns="http://schemas.openxmlformats.org/spreadsheetml/2006/main">
  <authors>
    <author>A satisfied Microsoft Office user</author>
  </authors>
  <commentList>
    <comment ref="D8" authorId="0">
      <text>
        <r>
          <rPr>
            <sz val="8"/>
            <rFont val="Tahoma"/>
            <family val="2"/>
          </rPr>
          <t xml:space="preserve">One contractor at $40/hr
</t>
        </r>
      </text>
    </comment>
    <comment ref="E10" authorId="0">
      <text>
        <r>
          <rPr>
            <sz val="8"/>
            <rFont val="Tahoma"/>
            <family val="2"/>
          </rPr>
          <t>Travel for two staff</t>
        </r>
      </text>
    </comment>
    <comment ref="D16" authorId="0">
      <text>
        <r>
          <rPr>
            <sz val="8"/>
            <rFont val="Tahoma"/>
            <family val="2"/>
          </rPr>
          <t xml:space="preserve">2100 hours at $48/hr/  - Will this be web develp/ programmer currently being recruited?
</t>
        </r>
      </text>
    </comment>
    <comment ref="D18" authorId="0">
      <text>
        <r>
          <rPr>
            <sz val="8"/>
            <rFont val="Tahoma"/>
            <family val="2"/>
          </rPr>
          <t>Current Vacancy</t>
        </r>
      </text>
    </comment>
    <comment ref="E22" authorId="0">
      <text>
        <r>
          <rPr>
            <sz val="8"/>
            <rFont val="Tahoma"/>
            <family val="2"/>
          </rPr>
          <t xml:space="preserve">Munis license fees of $372,700 (per correspondence from CCS dated March 6, 1998) and Informix license fees of $74,135) and 1500 service hours (at $90 per hour based on correspondence from CCS dated March 6, 1998)
</t>
        </r>
      </text>
    </comment>
    <comment ref="C23" authorId="0">
      <text>
        <r>
          <rPr>
            <sz val="8"/>
            <rFont val="Tahoma"/>
            <family val="2"/>
          </rPr>
          <t xml:space="preserve">KDE:
</t>
        </r>
      </text>
    </comment>
    <comment ref="E23" authorId="0">
      <text>
        <r>
          <rPr>
            <sz val="8"/>
            <rFont val="Tahoma"/>
            <family val="2"/>
          </rPr>
          <t xml:space="preserve">Price for 76  modules  + 125 hours of support at 
150/hr - - </t>
        </r>
      </text>
    </comment>
    <comment ref="D31" authorId="0">
      <text>
        <r>
          <rPr>
            <sz val="8"/>
            <rFont val="Tahoma"/>
            <family val="2"/>
          </rPr>
          <t xml:space="preserve">2100 hours at $48/hr/ SCB9906
</t>
        </r>
      </text>
    </comment>
    <comment ref="D37" authorId="0">
      <text>
        <r>
          <rPr>
            <sz val="8"/>
            <rFont val="Tahoma"/>
            <family val="2"/>
          </rPr>
          <t xml:space="preserve">2100 hours at $48/hr/ SCB9906
</t>
        </r>
      </text>
    </comment>
    <comment ref="E53" authorId="0">
      <text>
        <r>
          <rPr>
            <sz val="8"/>
            <rFont val="Tahoma"/>
            <family val="2"/>
          </rPr>
          <t>facility/ travel for participants/ stipends for ITL &amp; presenters</t>
        </r>
      </text>
    </comment>
    <comment ref="E58" authorId="0">
      <text>
        <r>
          <rPr>
            <sz val="8"/>
            <rFont val="Tahoma"/>
            <family val="2"/>
          </rPr>
          <t xml:space="preserve">In past years, each region was given $10K a year for discretionary use. This year Lydia will funda activities based on proposals submitted by Coords.  - -should be much better
</t>
        </r>
      </text>
    </comment>
    <comment ref="E65" authorId="0">
      <text>
        <r>
          <rPr>
            <sz val="8"/>
            <rFont val="Tahoma"/>
            <family val="2"/>
          </rPr>
          <t>most of these $ support time and expenses for district staff involved in review</t>
        </r>
      </text>
    </comment>
    <comment ref="E80" authorId="0">
      <text>
        <r>
          <rPr>
            <sz val="8"/>
            <rFont val="Tahoma"/>
            <family val="2"/>
          </rPr>
          <t>$20K has already been sent to Preston Lewis, Except Children, for this activity</t>
        </r>
      </text>
    </comment>
    <comment ref="E91" authorId="0">
      <text>
        <r>
          <rPr>
            <sz val="8"/>
            <rFont val="Tahoma"/>
            <family val="2"/>
          </rPr>
          <t xml:space="preserve">supports non-budgeted activities or non-KDE lead activities Lydia wants to support 
</t>
        </r>
      </text>
    </comment>
    <comment ref="D100" authorId="0">
      <text>
        <r>
          <rPr>
            <sz val="8"/>
            <rFont val="Tahoma"/>
            <family val="2"/>
          </rPr>
          <t xml:space="preserve">One-fourth annual time * 50/hr 
SCB9903
</t>
        </r>
      </text>
    </comment>
    <comment ref="D101" authorId="0">
      <text>
        <r>
          <rPr>
            <sz val="8"/>
            <rFont val="Tahoma"/>
            <family val="2"/>
          </rPr>
          <t xml:space="preserve">One-fourth annual time * 48/hr 
SCB9903
</t>
        </r>
      </text>
    </comment>
    <comment ref="D117" authorId="0">
      <text>
        <r>
          <rPr>
            <sz val="8"/>
            <rFont val="Tahoma"/>
            <family val="2"/>
          </rPr>
          <t xml:space="preserve">2100 hours at $55/hr + 128,100 leadingham
</t>
        </r>
      </text>
    </comment>
  </commentList>
</comments>
</file>

<file path=xl/sharedStrings.xml><?xml version="1.0" encoding="utf-8"?>
<sst xmlns="http://schemas.openxmlformats.org/spreadsheetml/2006/main" count="4068" uniqueCount="1925">
  <si>
    <t>School (plus 1 per ATC)</t>
  </si>
  <si>
    <t>Average cost of Lev. 2 Color Laser Network Printer with a 1 year warranty. Based upon average price of existing KETS Laser Printer Contracts</t>
  </si>
  <si>
    <t>Multi-year Projects</t>
  </si>
  <si>
    <t>Growth in Services and Prices</t>
  </si>
  <si>
    <t>Average Cost per Unit</t>
  </si>
  <si>
    <t>Units of Sustained Need</t>
  </si>
  <si>
    <t>Annual Maintenance</t>
  </si>
  <si>
    <t>Annual Unit Cost</t>
  </si>
  <si>
    <t>Annual Cost</t>
  </si>
  <si>
    <t>Refresh Rate Years</t>
  </si>
  <si>
    <t>Potential Annual USF Discounts</t>
  </si>
  <si>
    <t>Total Cost Six Year Plan w/o USF Discounts</t>
  </si>
  <si>
    <t>Total Cost Six Year Plan with USF Discounts for 3 Years</t>
  </si>
  <si>
    <t>Funding Source</t>
  </si>
  <si>
    <t>School Expenditures</t>
  </si>
  <si>
    <t>Hardware (Incremental Replacement)</t>
  </si>
  <si>
    <t>Classroom</t>
  </si>
  <si>
    <t>Student Workstations</t>
  </si>
  <si>
    <t>S/L or L</t>
  </si>
  <si>
    <t>Assistive and Adaptive Technology</t>
  </si>
  <si>
    <t>Teacher Workstations</t>
  </si>
  <si>
    <t>Classroom Printers</t>
  </si>
  <si>
    <t>Shared Instructional Laser Printers</t>
  </si>
  <si>
    <t>Shared Instructional File Servers</t>
  </si>
  <si>
    <t>Total Classroom Hardware</t>
  </si>
  <si>
    <t xml:space="preserve"> </t>
  </si>
  <si>
    <t>Staff</t>
  </si>
  <si>
    <t>School Staff Workstations</t>
  </si>
  <si>
    <t>School Staff Laser Printers</t>
  </si>
  <si>
    <t>School Administrative Servers</t>
  </si>
  <si>
    <t>Total Staff Hardware</t>
  </si>
  <si>
    <t xml:space="preserve">Total School Hardware </t>
  </si>
  <si>
    <t>Network (Incremental Replacement)</t>
  </si>
  <si>
    <t>Classroom Network for Teacher Data Wiring Runs</t>
  </si>
  <si>
    <t>F</t>
  </si>
  <si>
    <t>Classroom Network Teacher Voice Wiring Runs</t>
  </si>
  <si>
    <t>Classroom Network Teacher Video Wiring Runs</t>
  </si>
  <si>
    <t>Classroom Network Student Data Wiring Runs</t>
  </si>
  <si>
    <t>School Staff Network Data Wiring Runs</t>
  </si>
  <si>
    <t>School Staff Network Voice Wiring Runs</t>
  </si>
  <si>
    <t>School Network Wiring Closet</t>
  </si>
  <si>
    <t>School Network Ethernet Ports</t>
  </si>
  <si>
    <t>School WAN Internet Connection (Router &amp; CSU\DSU)</t>
  </si>
  <si>
    <t>School WAN Internet Connection (Fiber Port)</t>
  </si>
  <si>
    <t>School LAN Fiber Connection(MDF to IDF)</t>
  </si>
  <si>
    <t>Total School Network Hardware</t>
  </si>
  <si>
    <t>Voice/Video Hardware (Incremental Replacement)</t>
  </si>
  <si>
    <t>School Shared Multi-Media Applications &amp; Services</t>
  </si>
  <si>
    <t>(Projection Devices, Scanners, Digital Cameras, Portable TV's, KTLN, Desktop Conferencing)</t>
  </si>
  <si>
    <t>School Phone System</t>
  </si>
  <si>
    <t>Total Voice/Video Hardware</t>
  </si>
  <si>
    <t>Software</t>
  </si>
  <si>
    <t>Student/School Management Software</t>
  </si>
  <si>
    <t>Total School Software</t>
  </si>
  <si>
    <t>Total School Expenditures</t>
  </si>
  <si>
    <t>District Expenditures</t>
  </si>
  <si>
    <t>District Office / Node</t>
  </si>
  <si>
    <t>District Office Staff Workstations</t>
  </si>
  <si>
    <t>District Office Staff Laser Printers</t>
  </si>
  <si>
    <t>District Office Administrative File Servers Level 1</t>
  </si>
  <si>
    <t>District Office Administrative File Servers Level 2</t>
  </si>
  <si>
    <t>Shared District Communication and Application File Servers</t>
  </si>
  <si>
    <t>Total District Hardware</t>
  </si>
  <si>
    <t>Shared District Desktop and LAN Management SW</t>
  </si>
  <si>
    <t>Total District Software</t>
  </si>
  <si>
    <t>District Office Staff Network Data Wiring Runs</t>
  </si>
  <si>
    <t>District Office Network Wiring Closet</t>
  </si>
  <si>
    <t>District Office Network Ethernet Ports</t>
  </si>
  <si>
    <t>State to District Internet Connection (Router &amp; CSU\DSU)</t>
  </si>
  <si>
    <t>District to School Internet Connection</t>
  </si>
  <si>
    <t>Frame Site(Router &amp; CSU\DSU)</t>
  </si>
  <si>
    <t>Point to Point Sites (Router &amp; CSU\DSUs)</t>
  </si>
  <si>
    <t>Fiber Connection Sites (Fiber Ports)</t>
  </si>
  <si>
    <t>District Shared Telecommunications Router</t>
  </si>
  <si>
    <t>Total District Network Hardware</t>
  </si>
  <si>
    <t>Total District Office / Node</t>
  </si>
  <si>
    <t>District Shared Services</t>
  </si>
  <si>
    <t>Daily Operations (Leadership, Planning, Support and Training)</t>
  </si>
  <si>
    <r>
      <t xml:space="preserve">CIO </t>
    </r>
    <r>
      <rPr>
        <sz val="8"/>
        <color indexed="18"/>
        <rFont val="Tms Rmn"/>
        <family val="0"/>
      </rPr>
      <t>(Full Time)</t>
    </r>
  </si>
  <si>
    <t>STLP Leadership</t>
  </si>
  <si>
    <r>
      <t xml:space="preserve">STLP Students </t>
    </r>
    <r>
      <rPr>
        <sz val="8"/>
        <color indexed="18"/>
        <rFont val="Tms Rmn"/>
        <family val="0"/>
      </rPr>
      <t>(On Average, 14 per District)</t>
    </r>
  </si>
  <si>
    <r>
      <t xml:space="preserve">Telco Data Lines </t>
    </r>
    <r>
      <rPr>
        <sz val="8"/>
        <color indexed="18"/>
        <rFont val="Tms Rmn"/>
        <family val="0"/>
      </rPr>
      <t>(for Students, Teachers, Administrators and Parents)</t>
    </r>
  </si>
  <si>
    <r>
      <t xml:space="preserve">Telco Voice Lines </t>
    </r>
    <r>
      <rPr>
        <sz val="8"/>
        <color indexed="18"/>
        <rFont val="Tms Rmn"/>
        <family val="0"/>
      </rPr>
      <t>(for Students, Teachers, Administrators and Parents)</t>
    </r>
  </si>
  <si>
    <t>L</t>
  </si>
  <si>
    <r>
      <t xml:space="preserve">Proficiency Training </t>
    </r>
    <r>
      <rPr>
        <sz val="8"/>
        <color indexed="18"/>
        <rFont val="Tms Rmn"/>
        <family val="0"/>
      </rPr>
      <t>(For Teachers and Administrators: One on One Training, Resource Teachers, Stipends, and Substitutes)</t>
    </r>
  </si>
  <si>
    <t>Total Daily Operations</t>
  </si>
  <si>
    <t>Maintenance</t>
  </si>
  <si>
    <t>Hardware Warranty / Repair (Parts and Labor)</t>
  </si>
  <si>
    <t>Student Hardware</t>
  </si>
  <si>
    <t xml:space="preserve">School Hardware </t>
  </si>
  <si>
    <t>School Network Hardware</t>
  </si>
  <si>
    <t>District Hardware</t>
  </si>
  <si>
    <t>District Network Hardware</t>
  </si>
  <si>
    <t>Total Hardware Maintenance</t>
  </si>
  <si>
    <t>Software Updates</t>
  </si>
  <si>
    <t>Student Workstation Software Updates</t>
  </si>
  <si>
    <t>School Network Operating System Updates</t>
  </si>
  <si>
    <t>Student/School Management Software Updates</t>
  </si>
  <si>
    <t>Classroom Instructional Updates</t>
  </si>
  <si>
    <t>Desktop and LAN Management SW Updates</t>
  </si>
  <si>
    <t>District Office Services Software Updates</t>
  </si>
  <si>
    <t>Total Software Updates</t>
  </si>
  <si>
    <t>Total District Shared Services</t>
  </si>
  <si>
    <t>Total District Expenditures</t>
  </si>
  <si>
    <t>State Shared Services for Schools and District Offices</t>
  </si>
  <si>
    <t>Instructional and Administrative Software Licenses</t>
  </si>
  <si>
    <t>Munis, Informix, AIX, Router, E-Mail, Network OS, Internet Caching</t>
  </si>
  <si>
    <t>S</t>
  </si>
  <si>
    <t>Instructional and Administrative Help Desk and Support</t>
  </si>
  <si>
    <t>Munis, Student  and School Management System, Student and Teacher Instructional Software, Administrator Software</t>
  </si>
  <si>
    <t>Internet and E-Mail Services</t>
  </si>
  <si>
    <t>Telecommunications Lines  to Districts, Internet Service Fees, E-Mail Service, Security, Internet Caching, Telecommuting</t>
  </si>
  <si>
    <t>Distance Learning</t>
  </si>
  <si>
    <t>KTLN, Virtual High School, Virtual Library</t>
  </si>
  <si>
    <t>Enterprise Database</t>
  </si>
  <si>
    <t>School Report Card, Munis, School Student Management</t>
  </si>
  <si>
    <t>Instructional Professional Development</t>
  </si>
  <si>
    <t>ITL, KTLC, Student, Teacher, Administrator Standards, Resource Teachers</t>
  </si>
  <si>
    <t>School District Product Standards and Discount Procurements</t>
  </si>
  <si>
    <t>Contract Management, Architectural Standards, Equipment and Service Evaluation</t>
  </si>
  <si>
    <t>Student Technology Leadership Program (STLP)</t>
  </si>
  <si>
    <t>State Leadership, Marketing, Training, Pilot Projects,  Junior Engineers and School to Work</t>
  </si>
  <si>
    <t>KETS Leadership / Engineering / Planning / Funding</t>
  </si>
  <si>
    <t xml:space="preserve">Regional Assistance, Project Management, TLCF Funding, E-Rate, Quality Assurance, Budgeting,  Compliance of Law and Corporate Grants </t>
  </si>
  <si>
    <t>Total State Shared Services</t>
  </si>
  <si>
    <t>Total Annual &amp; 6 Year Plan</t>
  </si>
  <si>
    <t>for Schools, District and State</t>
  </si>
  <si>
    <t>EDTECH                     ( State plus Local)</t>
  </si>
  <si>
    <t>100% Local</t>
  </si>
  <si>
    <t>100% State</t>
  </si>
  <si>
    <t>100% Facilities</t>
  </si>
  <si>
    <t>Total EDTECH plus 100% local plus 100% state plus Facilities</t>
  </si>
  <si>
    <t>Annual Recurring Costs After 1998</t>
  </si>
  <si>
    <t xml:space="preserve">   </t>
  </si>
  <si>
    <t>Classroom Teacher Workstation Enet/TR Netwrk Interface Cards</t>
  </si>
  <si>
    <t xml:space="preserve">    </t>
  </si>
  <si>
    <t>CIO (Full Time)</t>
  </si>
  <si>
    <t xml:space="preserve">  </t>
  </si>
  <si>
    <t>Annual</t>
  </si>
  <si>
    <t>Total Cost</t>
  </si>
  <si>
    <t>USF</t>
  </si>
  <si>
    <t>Operations</t>
  </si>
  <si>
    <t>New/Emerging</t>
  </si>
  <si>
    <t>Annual USF</t>
  </si>
  <si>
    <t>Actual</t>
  </si>
  <si>
    <t xml:space="preserve">Offers Of </t>
  </si>
  <si>
    <t>Incremental Repl.</t>
  </si>
  <si>
    <t>Percentage</t>
  </si>
  <si>
    <t>Advantage</t>
  </si>
  <si>
    <t>Assistance</t>
  </si>
  <si>
    <t>Budget</t>
  </si>
  <si>
    <t>Total</t>
  </si>
  <si>
    <t>EDTECH (State+Local)</t>
  </si>
  <si>
    <t>Hardware</t>
  </si>
  <si>
    <t>Local Funds for Match</t>
  </si>
  <si>
    <t>Software(w/ maint.)</t>
  </si>
  <si>
    <t>People (w/ STLP Value Added Svc.)</t>
  </si>
  <si>
    <t>State Funds for Match</t>
  </si>
  <si>
    <t>Data/Voice Comm.</t>
  </si>
  <si>
    <t>Total (w/ STLP Value Added Svc.)</t>
  </si>
  <si>
    <t>STLP Value Added Svc. Based on 6.5% per Total Staff</t>
  </si>
  <si>
    <t>Avg. STLP Counts per Disrict</t>
  </si>
  <si>
    <t xml:space="preserve">School Level </t>
  </si>
  <si>
    <t>District Level</t>
  </si>
  <si>
    <t>District Shared</t>
  </si>
  <si>
    <t>State Shared</t>
  </si>
  <si>
    <t>W/ EdTech Funds for all that is EdTech Elegible</t>
  </si>
  <si>
    <t>KETS Funds Required</t>
  </si>
  <si>
    <t>Averages - Breakout of Annual Calculations for State Technology Budget</t>
  </si>
  <si>
    <t>Local Funds Required</t>
  </si>
  <si>
    <t>Facility Funds Required</t>
  </si>
  <si>
    <t>KETS Funds</t>
  </si>
  <si>
    <t>Offers of Assistance</t>
  </si>
  <si>
    <t>Match</t>
  </si>
  <si>
    <t>Local/Other</t>
  </si>
  <si>
    <t>Total District Local/Other Funds Required</t>
  </si>
  <si>
    <t>Offers</t>
  </si>
  <si>
    <t>State Expenses</t>
  </si>
  <si>
    <t>Facilities Expenses</t>
  </si>
  <si>
    <t>Total Operational Funds Required</t>
  </si>
  <si>
    <t>Avg. Local Funds Required per District</t>
  </si>
  <si>
    <t>Avg. Total Operational Cost per Student</t>
  </si>
  <si>
    <t>Avg. Local Funds per Student</t>
  </si>
  <si>
    <t>KETS Funds Required per Student</t>
  </si>
  <si>
    <t>Facilities Cost per Student</t>
  </si>
  <si>
    <t>Total State Education Budget (state svc.s &amp; state provided funds)</t>
  </si>
  <si>
    <t>Avg. State Funds Spent per Student for all Educational Programs</t>
  </si>
  <si>
    <t>% of Total State Funds required for Technology</t>
  </si>
  <si>
    <t>Total Education Budget (state funds combined w/  local taxes, fed. Funds,)</t>
  </si>
  <si>
    <t>Avg. Total Education Funds Spent per Student for all Educational Programs</t>
  </si>
  <si>
    <t>% of Total Education Funds required for Technology</t>
  </si>
  <si>
    <t>**** Based on KETS Funding 100% for all eligible items.</t>
  </si>
  <si>
    <t>(based on 35M of KETS funding per year)</t>
  </si>
  <si>
    <t>Student Expenditures</t>
  </si>
  <si>
    <t>Accent</t>
  </si>
  <si>
    <t>Apple</t>
  </si>
  <si>
    <t>Pomeroy</t>
  </si>
  <si>
    <t>Dell</t>
  </si>
  <si>
    <t>IBM</t>
  </si>
  <si>
    <t>Station</t>
  </si>
  <si>
    <t>Portable</t>
  </si>
  <si>
    <t>Level 1</t>
  </si>
  <si>
    <t xml:space="preserve"> Fully Configured Student Workstation</t>
  </si>
  <si>
    <t>Level 2</t>
  </si>
  <si>
    <t>Level 3</t>
  </si>
  <si>
    <t>Avg</t>
  </si>
  <si>
    <t>New Student Workstations</t>
  </si>
  <si>
    <t>Upgrade Existing Student Workstations</t>
  </si>
  <si>
    <t>Alternative Technology</t>
  </si>
  <si>
    <t>Instructional Software</t>
  </si>
  <si>
    <t>Network</t>
  </si>
  <si>
    <t>CBM</t>
  </si>
  <si>
    <t>Computerland</t>
  </si>
  <si>
    <t>Digital</t>
  </si>
  <si>
    <t>Tandy</t>
  </si>
  <si>
    <t>Ethernet</t>
  </si>
  <si>
    <t>Student Workstation Enet Network Interface Cards</t>
  </si>
  <si>
    <t>TR</t>
  </si>
  <si>
    <t>Student Workstation TR Network Interface Cards</t>
  </si>
  <si>
    <t>New Classroom Workstations</t>
  </si>
  <si>
    <t>Upgrade Existing Classroom Workstations</t>
  </si>
  <si>
    <t>Portable  Workstations</t>
  </si>
  <si>
    <t>Computer Ed.</t>
  </si>
  <si>
    <t>Ameridata</t>
  </si>
  <si>
    <t>PC</t>
  </si>
  <si>
    <t>Localtalk</t>
  </si>
  <si>
    <t>LocalTalk</t>
  </si>
  <si>
    <t>Color Compatiable</t>
  </si>
  <si>
    <t>High Speed</t>
  </si>
  <si>
    <t>Classroom Dot Matrix/Inkjet Printers</t>
  </si>
  <si>
    <t>Monochrome</t>
  </si>
  <si>
    <t>Classroom Inkjet</t>
  </si>
  <si>
    <t>Graham</t>
  </si>
  <si>
    <t>Classroom Laser Printer</t>
  </si>
  <si>
    <t>Base</t>
  </si>
  <si>
    <t>Classroom File Servers</t>
  </si>
  <si>
    <t>Classroom Television Monitors</t>
  </si>
  <si>
    <t>New School Staff Workstations</t>
  </si>
  <si>
    <t>Upgrade Existing School Staff Workstations</t>
  </si>
  <si>
    <t>School Staff Dot Matrix/Inkjet Printers</t>
  </si>
  <si>
    <t>Extended</t>
  </si>
  <si>
    <t>School File/Application Servers</t>
  </si>
  <si>
    <t>Install</t>
  </si>
  <si>
    <t>100-user</t>
  </si>
  <si>
    <t>5-user</t>
  </si>
  <si>
    <t>Network Operating System 5 user</t>
  </si>
  <si>
    <t>Network Operating System 100 user</t>
  </si>
  <si>
    <t>Student and School Management Software</t>
  </si>
  <si>
    <t>Old Budget (School Mgmt and Office Services)</t>
  </si>
  <si>
    <t>Classroom Workstation Enet Network Interface Cards</t>
  </si>
  <si>
    <t>Classroom Workstation TR Network Interface Cards</t>
  </si>
  <si>
    <t>School Staff Workstation Enet Network Interface Cards</t>
  </si>
  <si>
    <t>School Staff Workstation TR Network Interface Cards</t>
  </si>
  <si>
    <t>Length (ft.)</t>
  </si>
  <si>
    <t>Data and Voice</t>
  </si>
  <si>
    <t>Video (PVC)</t>
  </si>
  <si>
    <t>Faceplate</t>
  </si>
  <si>
    <t>Classroom Network Teacher Data Wiring Runs</t>
  </si>
  <si>
    <t>Classroom Network Student Wiring Runs</t>
  </si>
  <si>
    <t>Cost</t>
  </si>
  <si>
    <t>Qty</t>
  </si>
  <si>
    <t>19" x 7' Rack</t>
  </si>
  <si>
    <t>96-port patch</t>
  </si>
  <si>
    <t>3' patch cable</t>
  </si>
  <si>
    <t>School Network Hub Chassis</t>
  </si>
  <si>
    <t>School Network Enet Concentrators</t>
  </si>
  <si>
    <t>School Network TR MAUs</t>
  </si>
  <si>
    <t>School Network Bridges</t>
  </si>
  <si>
    <t>School to District Network End Routers</t>
  </si>
  <si>
    <t>School to District Network DSU/CSUs</t>
  </si>
  <si>
    <t>Modem</t>
  </si>
  <si>
    <t>School to District Network Phone Line Installation</t>
  </si>
  <si>
    <t>Jay Vetter, South Central Bell</t>
  </si>
  <si>
    <t>School Network Telecommuting Dial-up Router Servers</t>
  </si>
  <si>
    <t>School Network SNMP Hub Modules</t>
  </si>
  <si>
    <t>School Network Wiring Design</t>
  </si>
  <si>
    <t>School Network Wiring Installation</t>
  </si>
  <si>
    <t>School Phone System - PBX</t>
  </si>
  <si>
    <t>Classroom Phone Handsets</t>
  </si>
  <si>
    <t>School to District Network Phone Lines</t>
  </si>
  <si>
    <t>Old Budget</t>
  </si>
  <si>
    <t>School Phone System - Centrex</t>
  </si>
  <si>
    <t>Professional Development</t>
  </si>
  <si>
    <t>Teachers</t>
  </si>
  <si>
    <t>School Staff</t>
  </si>
  <si>
    <t>New District Staff Workstations</t>
  </si>
  <si>
    <t>Upgrade Existing District Staff Workstations</t>
  </si>
  <si>
    <t>District Staff Dot Matrix/Inkjet Printers</t>
  </si>
  <si>
    <t>District Staff Laser Printers</t>
  </si>
  <si>
    <t>District Office File Servers</t>
  </si>
  <si>
    <t>District Office Application Servers</t>
  </si>
  <si>
    <t>Network Operating System</t>
  </si>
  <si>
    <t>Includes AIX Update and 2 NT server Updates (36.50 ec)</t>
  </si>
  <si>
    <t>District Administration Software</t>
  </si>
  <si>
    <t>District Staff Workstation Enet Network Interface Cards</t>
  </si>
  <si>
    <t>District Staff Workstation TR Network Interface Cards</t>
  </si>
  <si>
    <t>District Office Network Hub Chassis</t>
  </si>
  <si>
    <t>District Office Network Enet Concentrators</t>
  </si>
  <si>
    <t>District Office Network TR MAUs</t>
  </si>
  <si>
    <t>District Office Network Bridges</t>
  </si>
  <si>
    <t>District to School End/Intermediate Routers</t>
  </si>
  <si>
    <t>District to School Network DSU/CSUs</t>
  </si>
  <si>
    <t>State to District End Routers</t>
  </si>
  <si>
    <t>State to District Network DSU/CSUs</t>
  </si>
  <si>
    <t>State to District Network Phone Line Installation</t>
  </si>
  <si>
    <t>District Office Network Telecommuting Dial-up Router Servers</t>
  </si>
  <si>
    <t>District Office Network Asynch DSU/CSUs</t>
  </si>
  <si>
    <t>District Office Network Wiring Design</t>
  </si>
  <si>
    <t>District Office Network Wiring Installation</t>
  </si>
  <si>
    <t>District Office Phone System - PBX</t>
  </si>
  <si>
    <t>State to District Network Phone Lines</t>
  </si>
  <si>
    <t>District Office Phone System - Centrex</t>
  </si>
  <si>
    <t>State Expenditures</t>
  </si>
  <si>
    <t>New ETAC Workstations</t>
  </si>
  <si>
    <t>ETAC Dot Matrix/Inkjet Printers</t>
  </si>
  <si>
    <t>ETAC Staff Laser Printers</t>
  </si>
  <si>
    <t>ETAC Office File Servers</t>
  </si>
  <si>
    <t>ETAC Application Server</t>
  </si>
  <si>
    <t>ETAC Workstation Network Enet Interface Cards</t>
  </si>
  <si>
    <t>ETAC Workstation Network TR Interface Cards</t>
  </si>
  <si>
    <t>ETAC Site Network Data Wiring Runs</t>
  </si>
  <si>
    <t>ETAC Network Voice Wiring Runs</t>
  </si>
  <si>
    <t>ETAC Network Video Runs</t>
  </si>
  <si>
    <t>ETAC Site Network Wiring Closet</t>
  </si>
  <si>
    <t>ETAC Site Network Hub Chassis</t>
  </si>
  <si>
    <t>ETAC Site Network Concentrators</t>
  </si>
  <si>
    <t>ETAC Site Network Bridges</t>
  </si>
  <si>
    <t>State to ETAC Network End Routers</t>
  </si>
  <si>
    <t>State to ETAC Network DSU/CSUs</t>
  </si>
  <si>
    <t>State to ETAC Network Phone Line Installation</t>
  </si>
  <si>
    <t>ETAC Site Network Telecommuting Dial-up Router Servers</t>
  </si>
  <si>
    <t>ETAC Site Network Asynch DSU/CSUs</t>
  </si>
  <si>
    <t>ETAC Network Wiring Design</t>
  </si>
  <si>
    <t>ETAC Network Wiring Installation</t>
  </si>
  <si>
    <t>State to ETAC Network Phone Lines</t>
  </si>
  <si>
    <t>Consulting</t>
  </si>
  <si>
    <t>Project Consultant</t>
  </si>
  <si>
    <t>Background Information</t>
  </si>
  <si>
    <t>Category</t>
  </si>
  <si>
    <t>Unmet need % of Total</t>
  </si>
  <si>
    <t>% of S/L</t>
  </si>
  <si>
    <t>Total funds avail</t>
  </si>
  <si>
    <t>20m</t>
  </si>
  <si>
    <t>30m</t>
  </si>
  <si>
    <t>40m</t>
  </si>
  <si>
    <t>50m</t>
  </si>
  <si>
    <t>60m</t>
  </si>
  <si>
    <t>Number of Districts</t>
  </si>
  <si>
    <t>Student</t>
  </si>
  <si>
    <t>Number of Schools</t>
  </si>
  <si>
    <t>School</t>
  </si>
  <si>
    <t>Number of Classroom Teachers</t>
  </si>
  <si>
    <t>District</t>
  </si>
  <si>
    <t>Number of School and District Staff</t>
  </si>
  <si>
    <t>State</t>
  </si>
  <si>
    <t>Number of Classrooms</t>
  </si>
  <si>
    <t>Number of Students</t>
  </si>
  <si>
    <t>Number of Student/Classroom Teacher/Staff Data/Voice/Video Nodes &amp; Fileservers &amp; Dial-up Router &amp; Lasers &amp; CDROM Tower</t>
  </si>
  <si>
    <t xml:space="preserve">Number of Student/Classroom Teacher/Staff Data Nodes &amp; Fileservers &amp; Dial-up &amp; Lasers &amp; CDROM Tower </t>
  </si>
  <si>
    <t xml:space="preserve">Number of Student/Classroom Teacher/Staff Data Nodes &amp;Filservers &amp; Dial-up &amp; Lasers &amp; CDROM Tower plus 50% </t>
  </si>
  <si>
    <t xml:space="preserve">Number of Student/Classroom Teacher/Staff Data Nodes &amp;Filservers &amp; Dial-up &amp; Lasers &amp; CDROM Tower plus 50% plus video lines plus voice lines </t>
  </si>
  <si>
    <t>Number of Novell &amp; NT Nodes for School</t>
  </si>
  <si>
    <t>Planned Student Workstation Ratio (Students/Workstation)</t>
  </si>
  <si>
    <t>Planned Classroom Workstation Ratio (Classrooms/Workstation)</t>
  </si>
  <si>
    <t>Planned School Office Workstation Ratio (Workstations/School Office)</t>
  </si>
  <si>
    <t>Planned District Office Workstation Ratio (Workstations/District Office)</t>
  </si>
  <si>
    <t>% of Ethernet Network Installations</t>
  </si>
  <si>
    <t>% of Token Ring Network Installations</t>
  </si>
  <si>
    <t>% of PBX Installations</t>
  </si>
  <si>
    <t>% of Centrex Installations</t>
  </si>
  <si>
    <t>Average Number of Wiring Closets/School</t>
  </si>
  <si>
    <t>Average Number of Bridges/School</t>
  </si>
  <si>
    <t>Average Number of Telecommuting Dial-up Router Lines/School</t>
  </si>
  <si>
    <t xml:space="preserve">Average Number of Wiring Runs/School Office </t>
  </si>
  <si>
    <t xml:space="preserve">Average Number of Wiring Runs/District Office </t>
  </si>
  <si>
    <t>Average Number of Telecommuting Dial-up Router Lines/District Office</t>
  </si>
  <si>
    <t>Total Student Workstations Planned</t>
  </si>
  <si>
    <t>Existing Student Workstations That Can Meet Standards</t>
  </si>
  <si>
    <t>Existing Student Workstations That Need to Be Upgraded</t>
  </si>
  <si>
    <t>Student Software</t>
  </si>
  <si>
    <t>Total Classroom Workstations Planned</t>
  </si>
  <si>
    <t>Existing Classroom Workstations That Can Meet Standards</t>
  </si>
  <si>
    <t>Existing Classroom Workstations That Already Meet Standards</t>
  </si>
  <si>
    <t>Existing Classroom Workstations That Need to Be Upgraded</t>
  </si>
  <si>
    <t>Total Dot Matrix/Inkjet Printers Planned</t>
  </si>
  <si>
    <t>Existing Dot Matrix/Inkjet Printers That Can Meet Standards</t>
  </si>
  <si>
    <t>New Classroom Dot Matrix/Inkjet Printers</t>
  </si>
  <si>
    <t>Total Classroom Laser Printers Planned</t>
  </si>
  <si>
    <t>Existing Classroom Laser Printers That Can Meet Standards</t>
  </si>
  <si>
    <t>New Classroom Laser Printers</t>
  </si>
  <si>
    <t>Total Classroom File Servers Planned</t>
  </si>
  <si>
    <t>Existing Classroom File Servers That Can Meet Standards</t>
  </si>
  <si>
    <t>New Classroom File Servers</t>
  </si>
  <si>
    <t>Total TV Monitors Planned</t>
  </si>
  <si>
    <t>District Shared Instructional Fileserver (multi-media distribution)</t>
  </si>
  <si>
    <t>Network switch ports, transceivers, etc., for all devices building wide (workstations, printers, file servers, wireless access points, video projectors, whiteboards, IP telephones, video-conferencing, etc.)  (10/100 port) (allows for cascade modules, fibe</t>
  </si>
  <si>
    <t>Existing TV Monitors That Can Meet Standards</t>
  </si>
  <si>
    <t>New Classroom Television Monitors</t>
  </si>
  <si>
    <t>Total School Staff Workstations Planned</t>
  </si>
  <si>
    <t>Existing School Staff Workstations That Can Meet Standards</t>
  </si>
  <si>
    <t>Existing School Staff Workstations That Already Meet Standards</t>
  </si>
  <si>
    <t>Existing School Staff Workstations That Need to Be Upgraded</t>
  </si>
  <si>
    <t>Planned School Staff Dot Matrix/Inkjet Printers</t>
  </si>
  <si>
    <t>Existing School Staff Dot Matrix/Inkjet Printers That Can Meet Standards</t>
  </si>
  <si>
    <t>New School Staff Dot Matrix/Inkjet Printers</t>
  </si>
  <si>
    <t>Planned School Staff Laser Printers</t>
  </si>
  <si>
    <t>Existing School Staff Laser Printers That Can Meet Standards</t>
  </si>
  <si>
    <t>New School Staff Laser Printers</t>
  </si>
  <si>
    <t>Planned School File/Application Servers</t>
  </si>
  <si>
    <t>Existing School File/Applications Servers That Need to Be Upgraded</t>
  </si>
  <si>
    <t>New School File/Application Servers</t>
  </si>
  <si>
    <t>Classroom Network Teacher Wiring Runs</t>
  </si>
  <si>
    <t>Modems</t>
  </si>
  <si>
    <t>School Network SNMP Modules</t>
  </si>
  <si>
    <t>Fiber Backbone</t>
  </si>
  <si>
    <t>Planned Classroom Phone Handsets</t>
  </si>
  <si>
    <t>Existing Classroom Phone Handsets</t>
  </si>
  <si>
    <t>New Classroom Phone Handsets</t>
  </si>
  <si>
    <t>School Hardware</t>
  </si>
  <si>
    <t>School Software</t>
  </si>
  <si>
    <t>School Network</t>
  </si>
  <si>
    <t>Total District Office Workstations Planned</t>
  </si>
  <si>
    <t>Existing District Office Workstations That Can Meet Standards</t>
  </si>
  <si>
    <t>New District Office Workstations</t>
  </si>
  <si>
    <t>Existing District Office Workstations That Already Meet Standards</t>
  </si>
  <si>
    <t>Existing District Office Workstations That Need to Be Upgraded</t>
  </si>
  <si>
    <t>Total District Office Dot Matrix/Inkjet Printers Planned</t>
  </si>
  <si>
    <t>Existing District Office Dot Matrix/Inkjet Printers That Can Meet Standards</t>
  </si>
  <si>
    <t>New District Office Dot Matrix/Inkjet Printers</t>
  </si>
  <si>
    <t>Total District Office Laser Printers Planned</t>
  </si>
  <si>
    <t>Existing District Office Laser Printers That Can Meet Standards</t>
  </si>
  <si>
    <t>New District Office Laser Printers</t>
  </si>
  <si>
    <t>Total District Office File Servers Planned</t>
  </si>
  <si>
    <t>Existing District Office File Servers That Can Meet Standards</t>
  </si>
  <si>
    <t>New District Office File Servers</t>
  </si>
  <si>
    <t>Total District Office Application Servers Planned</t>
  </si>
  <si>
    <t>Existing District Office Application File Servers That Can Meet Standards</t>
  </si>
  <si>
    <t>New District Office Application Servers</t>
  </si>
  <si>
    <t>District Staff Workstation/Fileserver Enet Network Interface Cards</t>
  </si>
  <si>
    <t>District Software</t>
  </si>
  <si>
    <t>Total ETAC Workstations Planned</t>
  </si>
  <si>
    <t>Existing ETAC Workstations That Can Meet Standards</t>
  </si>
  <si>
    <t>Total ETAC Dot Matrix/Inkjet Printers Planned</t>
  </si>
  <si>
    <t>Existing ETAC Dot Matrix/Inkjet Printers That Can Meet Standards</t>
  </si>
  <si>
    <t>New ETAC Dot Matrix/Inkjet Printers</t>
  </si>
  <si>
    <t>Total ETAC Laser Printers Planned</t>
  </si>
  <si>
    <t>Existing ETAC Laser Printers That Can Meet Standards</t>
  </si>
  <si>
    <t>New ETAC Laser Printers</t>
  </si>
  <si>
    <t>Total ETAC File Servers Planned</t>
  </si>
  <si>
    <t>Existing ETAC File Servers That Can Meet Standards</t>
  </si>
  <si>
    <t>New ETAC File Servers</t>
  </si>
  <si>
    <t>Total ETAC Application Servers Planned</t>
  </si>
  <si>
    <t>Existing ETAC Application File Servers That Can Meet Standards</t>
  </si>
  <si>
    <t>New ETAC Application Servers</t>
  </si>
  <si>
    <t>ETAC Hardware</t>
  </si>
  <si>
    <t>ETAC Software</t>
  </si>
  <si>
    <t>ETAC Network Hardware</t>
  </si>
  <si>
    <t>Number Of FRYSC Students</t>
  </si>
  <si>
    <t>Number of FRYSC Nodes</t>
  </si>
  <si>
    <t>Number of FRYSC needing Fileserver</t>
  </si>
  <si>
    <t>School to District Data Lines</t>
  </si>
  <si>
    <t>Schools with 56Kb Frame</t>
  </si>
  <si>
    <t>Schools with 56Kb PtP</t>
  </si>
  <si>
    <t>Schools with T1 Frame</t>
  </si>
  <si>
    <t>Schools with T1 PtP</t>
  </si>
  <si>
    <t>Cost Factors</t>
  </si>
  <si>
    <t>Workstation Refresh Rate</t>
  </si>
  <si>
    <t>Yrs</t>
  </si>
  <si>
    <t>Wiring Refresh Rate</t>
  </si>
  <si>
    <t>Network Electronics Refresh Rate</t>
  </si>
  <si>
    <t>Budget Years</t>
  </si>
  <si>
    <t>USF Discount Rate - Internal Connections</t>
  </si>
  <si>
    <t>USF Discount Rate - TELCO</t>
  </si>
  <si>
    <t>Current Cost per Unit</t>
  </si>
  <si>
    <t>Sustained Need</t>
  </si>
  <si>
    <t>Total Cost Six Year Plan</t>
  </si>
  <si>
    <t>Munis Updates</t>
  </si>
  <si>
    <t>Informix Updates</t>
  </si>
  <si>
    <t>AIX Updates</t>
  </si>
  <si>
    <t>Router (Connectivity) Software Updates (District Level)</t>
  </si>
  <si>
    <t>Exchange (E-Mail) Server License (District Level)</t>
  </si>
  <si>
    <t>Intel Network Operating Systems (Mail Server, Proxy Server)</t>
  </si>
  <si>
    <t>Proxy Server (District Level)</t>
  </si>
  <si>
    <t>Emerging Applications Modules</t>
  </si>
  <si>
    <t>Emerging Technology Modules Updates</t>
  </si>
  <si>
    <t xml:space="preserve">Total  </t>
  </si>
  <si>
    <t>Instructional and Administrative Help Desk</t>
  </si>
  <si>
    <t>Munis</t>
  </si>
  <si>
    <t>Informix</t>
  </si>
  <si>
    <t>Student Management / Accumulator</t>
  </si>
  <si>
    <t>Facility</t>
  </si>
  <si>
    <t>KETS Student, Teacher, and Administrator Applications</t>
  </si>
  <si>
    <t>School and District E-Mail Backbone</t>
  </si>
  <si>
    <t>School and District Wide Area Network Management</t>
  </si>
  <si>
    <t>School and District Security (Proxy)</t>
  </si>
  <si>
    <t>Kentucky Virtual High School</t>
  </si>
  <si>
    <t>District to State Internet Connections</t>
  </si>
  <si>
    <t>KTLN</t>
  </si>
  <si>
    <t>Kentucky Virtual Library</t>
  </si>
  <si>
    <t>School Report Card</t>
  </si>
  <si>
    <t>School Student Management</t>
  </si>
  <si>
    <t>Corporate Database Staff</t>
  </si>
  <si>
    <t>KTLC</t>
  </si>
  <si>
    <t>ITL</t>
  </si>
  <si>
    <t>Resource Teachers</t>
  </si>
  <si>
    <t>Student, Teacher, Administrator Standards</t>
  </si>
  <si>
    <t>Assistive and Adaptive</t>
  </si>
  <si>
    <t>Library Media</t>
  </si>
  <si>
    <t>Regional Assistance</t>
  </si>
  <si>
    <t>Evaluation / Research</t>
  </si>
  <si>
    <t>School District Product Standards and Discount Procurments</t>
  </si>
  <si>
    <t>Facilities</t>
  </si>
  <si>
    <t>Contract Management</t>
  </si>
  <si>
    <t>Testing and Evaluation</t>
  </si>
  <si>
    <t>STLP</t>
  </si>
  <si>
    <t>KETS Regional Engineers</t>
  </si>
  <si>
    <t>Shared Services Total</t>
  </si>
  <si>
    <t>IP Data</t>
  </si>
  <si>
    <t>Administrative Systems</t>
  </si>
  <si>
    <t xml:space="preserve">Labor </t>
  </si>
  <si>
    <t>Operating</t>
  </si>
  <si>
    <t>School Management and Accumulator</t>
  </si>
  <si>
    <t>Contractor</t>
  </si>
  <si>
    <t>Software License</t>
  </si>
  <si>
    <t>Jan Adams</t>
  </si>
  <si>
    <t>Thomas, Cathy</t>
  </si>
  <si>
    <t>Hebener, Martin</t>
  </si>
  <si>
    <t>Randy Lynn</t>
  </si>
  <si>
    <t>Boyd, Pat</t>
  </si>
  <si>
    <t>Dawn  Brooks</t>
  </si>
  <si>
    <t>Addt'l Resources</t>
  </si>
  <si>
    <t>Munis Software License Fees</t>
  </si>
  <si>
    <t>CCS</t>
  </si>
  <si>
    <t>Opt Mods</t>
  </si>
  <si>
    <t>-</t>
  </si>
  <si>
    <t>Project Leader</t>
  </si>
  <si>
    <t>Munis Finance Team</t>
  </si>
  <si>
    <t>Personal Services Cntrt.</t>
  </si>
  <si>
    <t>Technical Support</t>
  </si>
  <si>
    <t>Rahrig, Robert</t>
  </si>
  <si>
    <t>Munis Application Support</t>
  </si>
  <si>
    <t>Programming Expense</t>
  </si>
  <si>
    <t>Gleason</t>
  </si>
  <si>
    <t>Paige, Jill</t>
  </si>
  <si>
    <t>Munis Users Group</t>
  </si>
  <si>
    <t>Munis Training Team (Todd Allen)</t>
  </si>
  <si>
    <t>Help Desk &amp; Labor</t>
  </si>
  <si>
    <t>Budgeted</t>
  </si>
  <si>
    <t>Instructional Technology</t>
  </si>
  <si>
    <t>Labor</t>
  </si>
  <si>
    <t>Instructional Technology Leaders</t>
  </si>
  <si>
    <t>Summer Institute</t>
  </si>
  <si>
    <t>Product Development/Marketing</t>
  </si>
  <si>
    <t>Fall/Spring Follow-ups</t>
  </si>
  <si>
    <t>Online PD</t>
  </si>
  <si>
    <t>Regional Activities</t>
  </si>
  <si>
    <t>Prof Development for STCs</t>
  </si>
  <si>
    <t>Prof Development for Technology Integration Specialists</t>
  </si>
  <si>
    <t>Content Academies</t>
  </si>
  <si>
    <t>Library Media Services</t>
  </si>
  <si>
    <t xml:space="preserve">Online Survey </t>
  </si>
  <si>
    <t>LMS Online Training</t>
  </si>
  <si>
    <t>Elec Instr Materials Review</t>
  </si>
  <si>
    <t xml:space="preserve">Software Review/ Selection </t>
  </si>
  <si>
    <t>Program Evauation and Research</t>
  </si>
  <si>
    <t>Student Technology Leadership Program</t>
  </si>
  <si>
    <t>Conference Participation Support</t>
  </si>
  <si>
    <t>Training for Sponsors</t>
  </si>
  <si>
    <t>Regional Showcases</t>
  </si>
  <si>
    <t>Curriculum Support Materials</t>
  </si>
  <si>
    <t>Marketing</t>
  </si>
  <si>
    <t>Assistive Adaptive Technology</t>
  </si>
  <si>
    <t>Standards Development/ Implementation</t>
  </si>
  <si>
    <t>Teacher Standards Action Plan</t>
  </si>
  <si>
    <t>Implementation Training</t>
  </si>
  <si>
    <t>Student Standards ID Skills</t>
  </si>
  <si>
    <t>Integration into Subject Areas</t>
  </si>
  <si>
    <t>Administrator Standards</t>
  </si>
  <si>
    <t>Research/ Technology in Assessment</t>
  </si>
  <si>
    <t>Special Programs Development/Support</t>
  </si>
  <si>
    <t>Technology Conference Support</t>
  </si>
  <si>
    <t>Instructional Tech Consultants</t>
  </si>
  <si>
    <t xml:space="preserve">KETS Coordinators/ 29 days </t>
  </si>
  <si>
    <t>Dailey, Michael</t>
  </si>
  <si>
    <t>Harrison, Elaine</t>
  </si>
  <si>
    <t>Culbertson, Diane</t>
  </si>
  <si>
    <t>Getchell, Abe</t>
  </si>
  <si>
    <t>Vacant/web</t>
  </si>
  <si>
    <t>Vacant EdProgConsul</t>
  </si>
  <si>
    <t>Vacant/ distance ed</t>
  </si>
  <si>
    <t>Vacant/PD Direct</t>
  </si>
  <si>
    <t xml:space="preserve">State and District Planning </t>
  </si>
  <si>
    <t>Contingncy</t>
  </si>
  <si>
    <t>District Technology Planning / Project Management</t>
  </si>
  <si>
    <t>Wyrick/ Leadingham</t>
  </si>
  <si>
    <t>Hardware/Software</t>
  </si>
  <si>
    <t>Collins, Jason</t>
  </si>
  <si>
    <t>Sigler, David</t>
  </si>
  <si>
    <t>Exley, Keith</t>
  </si>
  <si>
    <t>Weems, Mike</t>
  </si>
  <si>
    <t>Atcher, Mike</t>
  </si>
  <si>
    <t>Totals</t>
  </si>
  <si>
    <t>Vacant</t>
  </si>
  <si>
    <t>Logan, John</t>
  </si>
  <si>
    <t>Cornett, Tim</t>
  </si>
  <si>
    <t>Brewer, Lisa</t>
  </si>
  <si>
    <t>School and District Standards and Procurment</t>
  </si>
  <si>
    <t>Jackey, Damon</t>
  </si>
  <si>
    <t>Schmitzerle, Mark</t>
  </si>
  <si>
    <t>Austin, Chuck</t>
  </si>
  <si>
    <t>Willson, Lloyd</t>
  </si>
  <si>
    <t>Donner, Ray</t>
  </si>
  <si>
    <t>Key, Phil / Dan Klaber</t>
  </si>
  <si>
    <t>Hackworth, Robert</t>
  </si>
  <si>
    <t>Paslick, Barney</t>
  </si>
  <si>
    <t>Wells, Frank</t>
  </si>
  <si>
    <t>Burchell, Harold</t>
  </si>
  <si>
    <t>School WAN Network Connection</t>
  </si>
  <si>
    <t>QTY</t>
  </si>
  <si>
    <t>Router</t>
  </si>
  <si>
    <t>CSU\DSU</t>
  </si>
  <si>
    <t>Fiber Connection</t>
  </si>
  <si>
    <t>Ratios of Sites Connected</t>
  </si>
  <si>
    <t>Frame Sites</t>
  </si>
  <si>
    <t>Point to Point Sites</t>
  </si>
  <si>
    <t>HS</t>
  </si>
  <si>
    <t>MS</t>
  </si>
  <si>
    <t>ES</t>
  </si>
  <si>
    <t>Fiber</t>
  </si>
  <si>
    <t>Districts with Frame</t>
  </si>
  <si>
    <t>School  / Teacher Workstations</t>
  </si>
  <si>
    <t>School  Instructional Laser Printers</t>
  </si>
  <si>
    <t>Instructional CDROM</t>
  </si>
  <si>
    <t>Instructional File Servers</t>
  </si>
  <si>
    <t>Total School Hardware</t>
  </si>
  <si>
    <t>School Staff Workstation Enet/TR Network Interface Cards</t>
  </si>
  <si>
    <t>1) State to District Network - 1776</t>
  </si>
  <si>
    <t>Description</t>
  </si>
  <si>
    <t>From IP</t>
  </si>
  <si>
    <t>DIS Internet Access / Backbone</t>
  </si>
  <si>
    <t>KIH / Bell South</t>
  </si>
  <si>
    <t>DIS Backbone Charges</t>
  </si>
  <si>
    <t>Backbone</t>
  </si>
  <si>
    <t>Monthly</t>
  </si>
  <si>
    <t>Frame 56 Kb</t>
  </si>
  <si>
    <t>Frame 256 Kb</t>
  </si>
  <si>
    <t>Frame T1</t>
  </si>
  <si>
    <t>ETAC 100 Mb Ethernet (Fiber)</t>
  </si>
  <si>
    <t>Frankfort high T1 (DAS ?)</t>
  </si>
  <si>
    <t>Backbone - Statewide Enhanced 56Kb</t>
  </si>
  <si>
    <t>Backbone - Statewide High T1</t>
  </si>
  <si>
    <t>DIS Info Highway Access</t>
  </si>
  <si>
    <t>9-50 Devices (Most School Districts)</t>
  </si>
  <si>
    <t>51-150  Devices</t>
  </si>
  <si>
    <t>301 - 500 Devices (Jefferson)</t>
  </si>
  <si>
    <t>&gt; 500 Devices (ETAC)</t>
  </si>
  <si>
    <t>KIH Line Charges</t>
  </si>
  <si>
    <t>56Kb Frame Sites</t>
  </si>
  <si>
    <t>256Kb Frame Sites</t>
  </si>
  <si>
    <t>T1 Frame Sites</t>
  </si>
  <si>
    <t>T1 KTLN Sites</t>
  </si>
  <si>
    <t>Other</t>
  </si>
  <si>
    <t>Total TELCO</t>
  </si>
  <si>
    <t>Costs are Based on per Node</t>
  </si>
  <si>
    <t>MS School Agreement</t>
  </si>
  <si>
    <t>MS Select Agreement</t>
  </si>
  <si>
    <t>Standard Products Included</t>
  </si>
  <si>
    <t>MS Office Standard</t>
  </si>
  <si>
    <t>Annual Cost Based on:</t>
  </si>
  <si>
    <t>SLA</t>
  </si>
  <si>
    <t>Select</t>
  </si>
  <si>
    <t>MS Office Professional</t>
  </si>
  <si>
    <t>1 Year</t>
  </si>
  <si>
    <t>MS Office Macintosh Edition</t>
  </si>
  <si>
    <t>2 Years</t>
  </si>
  <si>
    <t>MS Works Standard</t>
  </si>
  <si>
    <t>3 Years</t>
  </si>
  <si>
    <t>MS Windows Upgrades</t>
  </si>
  <si>
    <t>Total After 3 Years</t>
  </si>
  <si>
    <t>MS BackOffice Server CAL</t>
  </si>
  <si>
    <t>District Office Staff Workstations (enhanced capacity)</t>
  </si>
  <si>
    <t>District Office Staff Laser Printers (enhanced capacity)</t>
  </si>
  <si>
    <t>District Network Components (enhanced capacity)</t>
  </si>
  <si>
    <t>assumes fileservers located in wiring closet / distribution center. Based on information received from Gartner referencing industry pricing and observed spending patterns.</t>
  </si>
  <si>
    <t>1.5 for District Staff, 1 for Fileserver, and 1 for VS Staff</t>
  </si>
  <si>
    <t>School (15% of schools)</t>
  </si>
  <si>
    <t>School (65% of Schools)</t>
  </si>
  <si>
    <t>School (20% of Schools)</t>
  </si>
  <si>
    <t>Staff Workstations</t>
  </si>
  <si>
    <t>Student workstations</t>
  </si>
  <si>
    <t xml:space="preserve">assumes fileserver located in wiring closet / distribution center. Based on average price of existing KETS Network Components  contracts. </t>
  </si>
  <si>
    <t>School (65% of schools)</t>
  </si>
  <si>
    <t>Applicable if connection to District WAN is via high speed telco connection. (15% of schools)</t>
  </si>
  <si>
    <t>School (20% of schools)</t>
  </si>
  <si>
    <t>Every 8 classrooms</t>
  </si>
  <si>
    <t>Teachers, school &amp; district staff</t>
  </si>
  <si>
    <t>Number of schools/Student Ratio</t>
  </si>
  <si>
    <t xml:space="preserve">Assumes fileserver located in wiring closet / distribution center. Based on average price of existing KETS Network Components  contracts. </t>
  </si>
  <si>
    <t>District (65% of districts)</t>
  </si>
  <si>
    <t>Number of Schools w/ ADA &gt;600</t>
  </si>
  <si>
    <t>Average Annual Cost of School/District Technician</t>
  </si>
  <si>
    <t>Based on observed compensation</t>
  </si>
  <si>
    <t>Average Annual Cost of  District Chief Information Officer</t>
  </si>
  <si>
    <t>State E-rate Discount Average</t>
  </si>
  <si>
    <t>70%</t>
  </si>
  <si>
    <t>Average of years 1-7 of E-rate Program</t>
  </si>
  <si>
    <t>Number of FRYSC Centers</t>
  </si>
  <si>
    <t>Cabinet for Health and Family Services</t>
  </si>
  <si>
    <t>Number of Area Technology Center Classrooms</t>
  </si>
  <si>
    <t>Number of Area Technology Center Staff</t>
  </si>
  <si>
    <t>Workforce Development (Mac Stivers)</t>
  </si>
  <si>
    <t>Number of Locally Owned Vocational Education Center Staff</t>
  </si>
  <si>
    <t>Number of Locally Owned Vocational Education Center Schools</t>
  </si>
  <si>
    <t>Number of Locally Owned Vocational Education Center Nodes</t>
  </si>
  <si>
    <t>Number of Locally Owned Vocational Education Center Students</t>
  </si>
  <si>
    <t>Number of Locally Owned Vocational Education Center Classrooms</t>
  </si>
  <si>
    <t>Career and Technical Education (Kim Rice)</t>
  </si>
  <si>
    <t>Revised</t>
  </si>
  <si>
    <t>Source</t>
  </si>
  <si>
    <t>1:1 for High School and Middle School; 3:1 for Elementary School</t>
  </si>
  <si>
    <t>Includes altenative schools, KSB,  KSD and locally owned Vocational Education Cetners. Data Source: School Finance Growth Factor 06 Spreadsheet</t>
  </si>
  <si>
    <t>Number of Area Technology Center Schools</t>
  </si>
  <si>
    <t>Number of Area Technology Center Nodes</t>
  </si>
  <si>
    <t>Number of Area Technology Center Students</t>
  </si>
  <si>
    <t>School Data/Voice/Video Wiring (enhanced capacity)</t>
  </si>
  <si>
    <t>Additional wiring to support all discretionary line items</t>
  </si>
  <si>
    <t>Additional network components to support all discretionary line items</t>
  </si>
  <si>
    <t>Wireless Access Points in support of all classrooms, libraries, auditoriums, and lunchrooms</t>
  </si>
  <si>
    <t xml:space="preserve">District </t>
  </si>
  <si>
    <t>District plus one for each additional 20 schools in the district</t>
  </si>
  <si>
    <t>District Data/Voice/Video Wiring (enhanced capacity)</t>
  </si>
  <si>
    <t>Average of 10</t>
  </si>
  <si>
    <t>district plus 1 for each additional 20 schools in the district</t>
  </si>
  <si>
    <t>40 Wireless Access Points</t>
  </si>
  <si>
    <t>district plus 1 for each school connecting via low speed WAN link</t>
  </si>
  <si>
    <t>School Network Components (enhanced capacity)</t>
  </si>
  <si>
    <t>Next Generation Student/School Management Software (optional modules)</t>
  </si>
  <si>
    <t>District Back office Applications Servers</t>
  </si>
  <si>
    <t>(metro Ethernet, MPLS, etc. - 20% of schools)</t>
  </si>
  <si>
    <t>(one on one training, resource teachers, stipends, substitutes, etc.)</t>
  </si>
  <si>
    <t xml:space="preserve">$100K for annual upgrade/support  plus possible $50K for new functionality in FY07 </t>
  </si>
  <si>
    <t>Classroom Teacher Workstation Enet/TR Network Interface Cards</t>
  </si>
  <si>
    <t>School LAN Fiber Connection (MDF to IDF)</t>
  </si>
  <si>
    <t>For printing requirements of administrative school staff.  Can be 1 high end printer or multiple low end printers.  Level 2 Color Laser network printer with a 1 year warranty</t>
  </si>
  <si>
    <t>Network switch ports, transceivers, etc., for all devices building wide (workstations, printers, file servers, wireless access points, video projectors, whiteboards, IP telephones, video-conferencing, etc.)  (10/100 port) (allows for cascade modules, fiber up-link ports, redundant power supplies, etc..)</t>
  </si>
  <si>
    <t>Includes Wireless Access Points for all classrooms, lunchrooms, auditoriums, and shared throughout building. (provides for 20 to 25 users per device)</t>
  </si>
  <si>
    <t>Shared laser printers for district office staff use.</t>
  </si>
  <si>
    <t>Fileserver for district instructional services (Media distribution, Web Services, etc..)</t>
  </si>
  <si>
    <t>End user training on using technology, includes; ability to offset cost associated with allowing professional development activities to occur.  As well as cost associated to TRTs, STCs, etc..)</t>
  </si>
  <si>
    <t>Maintenance, service, or repair parts on school hardware including teacher and staff workstations, file servers, and printers.</t>
  </si>
  <si>
    <t>MS Encarta Reference Suite</t>
  </si>
  <si>
    <t>MS Encarta Online</t>
  </si>
  <si>
    <t>Years to Break Even</t>
  </si>
  <si>
    <t>MS Visual Studio Professional Edition</t>
  </si>
  <si>
    <t>MS Office Starts Here/Step by Step Interactive by MS Press</t>
  </si>
  <si>
    <t>Total Annual Cost</t>
  </si>
  <si>
    <t>Add On Products</t>
  </si>
  <si>
    <t>MS Project</t>
  </si>
  <si>
    <t>MS FrontPage</t>
  </si>
  <si>
    <t>MS Windows 98 Starts Here by MS Press</t>
  </si>
  <si>
    <t>MS Windows NT Workstation Starts Here by MS Press</t>
  </si>
  <si>
    <t>MS Web Publishing Step by Step Interactive by MS Press</t>
  </si>
  <si>
    <t>Microsoft Product Most Likely to be Utilized</t>
  </si>
  <si>
    <t>Best cost is for MS School Agreement every year.  Purchase of this software every 5 years would be the same cost over that period.</t>
  </si>
  <si>
    <t>Excahange CAL, SMS CAL, McAfee pricing</t>
  </si>
  <si>
    <t>Price per License</t>
  </si>
  <si>
    <t>MSELECT EXCHANGE CAL V5.5 WNT (ENGLISH)(EDUC)</t>
  </si>
  <si>
    <t>MSELECT SYSTEMS MANAGEMENT SERVER CAL V2.0 WNT (ENGLISH)(EDUC)</t>
  </si>
  <si>
    <t>McAfee - Total Virus Defense Package (Multiplatform - server or desktop )</t>
  </si>
  <si>
    <t>MS SLA</t>
  </si>
  <si>
    <t>Avg. $</t>
  </si>
  <si>
    <t>N/A</t>
  </si>
  <si>
    <t>HP</t>
  </si>
  <si>
    <t>To be included in overall cost of wiring components and install.</t>
  </si>
  <si>
    <t xml:space="preserve">See separate worksheet, assumes fileserver located in wiring closet / distribution center. Based on average price of existing KETS Network Components  contracts. </t>
  </si>
  <si>
    <t>Port</t>
  </si>
  <si>
    <t>Applicable if connection to District WAN is via high speed telco connection. (15% of school)</t>
  </si>
  <si>
    <t xml:space="preserve">Based on average price of existing KETS Network Components  contracts. </t>
  </si>
  <si>
    <t>Applicable if connection to District WAN is via fiber or other non-telco connection. (65% of schools)</t>
  </si>
  <si>
    <t>Applicable if connection to District WAN is via fiber or other non-telco connection. (20% of schools)</t>
  </si>
  <si>
    <t xml:space="preserve">Includes Superintendent, Asst. Superintendent, and all associated district office staff; includes 6 year warranty  </t>
  </si>
  <si>
    <t>District plus one for every 5 schools</t>
  </si>
  <si>
    <t>Average cost of Level 2 Color Laser Network Printer with a 1 year warranty. Based upon average price of existing KETS Laser Printer Contracts</t>
  </si>
  <si>
    <t>District plus one for every 5 schools in the district</t>
  </si>
  <si>
    <t>Fileserver for district financial administrative systems. (w/ 5 yr. Warr.)</t>
  </si>
  <si>
    <t>Fileserver for district communication, web application services, file and print.</t>
  </si>
  <si>
    <t>Based on average price of existing KETS File Server contracts.</t>
  </si>
  <si>
    <t>Shared District Communication and Application File Servers (enhanced capacity)</t>
  </si>
  <si>
    <t>Remote SW Management, Desktop Config. Management, Version Management, &amp; Remote Help Desk Support</t>
  </si>
  <si>
    <t>Based on average observed pricing for these items.</t>
  </si>
  <si>
    <t>Ethernet Ports, fiber Transceivers, etc..</t>
  </si>
  <si>
    <t>Full or part-time.   Primary contact or all KETS related activities and responsibilities.</t>
  </si>
  <si>
    <t>Based on buying patterns.</t>
  </si>
  <si>
    <t>Provides service from district hub to school sites.</t>
  </si>
  <si>
    <t>Provides dial tone and voice service to school sites.</t>
  </si>
  <si>
    <t>Maintenance, service, or repair parts on student workstations.</t>
  </si>
  <si>
    <t>Baseline carry-forward</t>
  </si>
  <si>
    <t>Maintenance, service, or repair parts on school network components.</t>
  </si>
  <si>
    <t>Maintenance, service, or repair parts on district office hardware.</t>
  </si>
  <si>
    <t>Maintenance, service, or repair parts on district network components.</t>
  </si>
  <si>
    <t>Individual Desktop Applications, including Window CAL, Exchange CAL, MS Office</t>
  </si>
  <si>
    <t>Individual Server OS Upgrades</t>
  </si>
  <si>
    <t>Based upon price of KETS Microsoft Select Agreement. (Cost of Operating System plus 6 Years of Software Assurance divided by 6)</t>
  </si>
  <si>
    <t>School Fileserver</t>
  </si>
  <si>
    <t>SIS System Software.</t>
  </si>
  <si>
    <t>Specially funded project</t>
  </si>
  <si>
    <t>District Fileserver</t>
  </si>
  <si>
    <t>Based on information received from Gartner referencing industry pricing and observed spending patterns.</t>
  </si>
  <si>
    <t>Grid Computing</t>
  </si>
  <si>
    <t>For misc. items related to multi-media devices &amp; services used within classrooms and throughout the school.</t>
  </si>
  <si>
    <t>Based on average observed pricing for these components.</t>
  </si>
  <si>
    <t>Interactive Classroom - Includes whiteboard, projector, interactive student response system, with 4 year warranty (Smart Classroom)</t>
  </si>
  <si>
    <t>Based on avg. observed pricing for these components.</t>
  </si>
  <si>
    <t>Plus one for every additional school in the district</t>
  </si>
  <si>
    <t>Fileserver for district SIS systems.</t>
  </si>
  <si>
    <t>1</t>
  </si>
  <si>
    <t>Fileserver for district network caching, EPO, SUS, etc..</t>
  </si>
  <si>
    <t>One for every additional 5 schools in the district</t>
  </si>
  <si>
    <t>Fileserver for district AD &amp; Exchange systems.</t>
  </si>
  <si>
    <t>location of district to state WAN connection to house all state &amp; district shared services hardware (includes; racks, enclosed cabinets, UPS systems, fire protection systems, and cooling systems)</t>
  </si>
  <si>
    <t>Based on avg. observed pricing for these items.</t>
  </si>
  <si>
    <t>Wireless access for district office.</t>
  </si>
  <si>
    <t>Need definition from Keith.  Provides for 40 WAP per district.</t>
  </si>
  <si>
    <t xml:space="preserve"># of WAP minus 40 per district. Based on average price of existing KETS Network Components  contracts. </t>
  </si>
  <si>
    <t>Enhanced support and maintenance capacity</t>
  </si>
  <si>
    <t>Based on 5% - 15% of initial implementation and/or replacement cost of all line items</t>
  </si>
  <si>
    <t>Windows NT Server V4.0</t>
  </si>
  <si>
    <t>Windows NT CAL V4.0</t>
  </si>
  <si>
    <t>Cost per License</t>
  </si>
  <si>
    <t>Upgrade Maintenance</t>
  </si>
  <si>
    <t>Number of Nodes:</t>
  </si>
  <si>
    <t xml:space="preserve">Cost per Node </t>
  </si>
  <si>
    <t>Novell</t>
  </si>
  <si>
    <t>Novell SLA</t>
  </si>
  <si>
    <t>Cost per Student</t>
  </si>
  <si>
    <t>Total Students Based on 1:6</t>
  </si>
  <si>
    <t>Cost Based on 500 nodes (3000 students)</t>
  </si>
  <si>
    <t># of years</t>
  </si>
  <si>
    <t>SLA cost per year</t>
  </si>
  <si>
    <t>SLA Total</t>
  </si>
  <si>
    <t>MLA Total</t>
  </si>
  <si>
    <t>MLA Cost per Node</t>
  </si>
  <si>
    <t>Cost Based on 250 nodes (1500 students)</t>
  </si>
  <si>
    <t>Cost Based on 100 nodes (600 students)</t>
  </si>
  <si>
    <t xml:space="preserve">Everyone within school should have access to school(student nodes, teacher nodes, staff nodes) instructional server.. However only teachers </t>
  </si>
  <si>
    <t>and staff need access to admin server.</t>
  </si>
  <si>
    <t>Nodes Needed</t>
  </si>
  <si>
    <t>Based on 30% Novell and 70% NT and NT CAL already included in the cost of software upgrades.</t>
  </si>
  <si>
    <t>100 User Novel/node</t>
  </si>
  <si>
    <t>Worse Case</t>
  </si>
  <si>
    <t>NT Upgrade Adv</t>
  </si>
  <si>
    <t>For Every 100 Users for cost only</t>
  </si>
  <si>
    <t>Discretionary Items</t>
  </si>
  <si>
    <t>Non-Discretionary Items</t>
  </si>
  <si>
    <t>Student Instructional Device (1:1/3:1)</t>
  </si>
  <si>
    <t>Student Instructional Device (6:1)</t>
  </si>
  <si>
    <t>Smart Classroom (hardware/software)</t>
  </si>
  <si>
    <t>School Administrative Servers (1 per school)</t>
  </si>
  <si>
    <t>School Administrative Servers (3 per school)</t>
  </si>
  <si>
    <t>(SIS, On-line Testing, Cafeteria, Library Mngt. , etc.)</t>
  </si>
  <si>
    <t>(increased workstations, wireless, servers, smart classrooms, etc.)</t>
  </si>
  <si>
    <t>School Network Components</t>
  </si>
  <si>
    <t>School Network Components (enhanced ratios)</t>
  </si>
  <si>
    <t>Wireless Access Device</t>
  </si>
  <si>
    <t>School WAN Internet Connection (Traditional Leased Line)</t>
  </si>
  <si>
    <t>(Router &amp; CSU/DSU - 15% of Schools)</t>
  </si>
  <si>
    <t>School WAN Internet Connection (High Speed Fiber)</t>
  </si>
  <si>
    <t>(Network Electronics - 65% of Schools)</t>
  </si>
  <si>
    <t>School WAN Internet Connection (High Speed Ethernet)</t>
  </si>
  <si>
    <t>(scanners, digital cameras, portable TVs, desktop video conferencing, etc.)</t>
  </si>
  <si>
    <t>(interactive whiteboard, projectors, student response system, etc.)</t>
  </si>
  <si>
    <t>District Office Financial File Servers</t>
  </si>
  <si>
    <t>District SIS Fileservers</t>
  </si>
  <si>
    <t>(network caching, virus protection/EPO, critical updates/SUS, etc.)</t>
  </si>
  <si>
    <t>District AD/Exchange Fileservers</t>
  </si>
  <si>
    <t>(increased workstations, wireless, servers, printers, etc.)</t>
  </si>
  <si>
    <t>District Office Voice Wiring Runs</t>
  </si>
  <si>
    <t>District Network Components</t>
  </si>
  <si>
    <t>District Data Center</t>
  </si>
  <si>
    <t>District Wireless Access Device</t>
  </si>
  <si>
    <t>Wireless Security Switch</t>
  </si>
  <si>
    <t>Wireless Security Switch Software</t>
  </si>
  <si>
    <t>District to School WAN Internet Connection (Traditional Leased Line)</t>
  </si>
  <si>
    <t>District to School WAN Internet Connection (High Speed Fiber)</t>
  </si>
  <si>
    <t>District to School WAN Internet Connection (High Speed Ethernet)</t>
  </si>
  <si>
    <t>School to District WAN Wireless Security Switch</t>
  </si>
  <si>
    <t>School to District WAN Layer 3 Switch</t>
  </si>
  <si>
    <t>District to State High Speed WAN Connection (hardware &amp; software)</t>
  </si>
  <si>
    <t>(routers, firewalls, switches, etc. - KEN components)</t>
  </si>
  <si>
    <t>STLP Leadership &amp; Services</t>
  </si>
  <si>
    <t>STLP Leadership &amp; Services (enhanced capabilities)</t>
  </si>
  <si>
    <t>School to District High Speed Data Connections</t>
  </si>
  <si>
    <t>School to District Telco Voice Lines</t>
  </si>
  <si>
    <t>State to District High Speed WAN Connection</t>
  </si>
  <si>
    <t>Professional Development - Teacher, School &amp; District Staff</t>
  </si>
  <si>
    <t>(in-house or outsourced technical assistance)</t>
  </si>
  <si>
    <t>Support &amp; Maintenance (people, parts, and/or services)</t>
  </si>
  <si>
    <t>School Desktop Software Updates/Replacement</t>
  </si>
  <si>
    <t>School Desktop Software Updates/Replacements (enhanced quantities)</t>
  </si>
  <si>
    <t>School Fileserver Operating System Updates/Replacement</t>
  </si>
  <si>
    <t>Desktop and LAN Management SW Updates/Replacement</t>
  </si>
  <si>
    <t>Classroom Instructional Software Updates/Replacement</t>
  </si>
  <si>
    <t>District Fileserver Operating System Updates/Replacement</t>
  </si>
  <si>
    <t>District Desktop Software Updates/Replacement</t>
  </si>
  <si>
    <t>District Fileserver Operating System Updates/Replacement (enhanced quantities)</t>
  </si>
  <si>
    <t>School Fileserver Operating System Updates/Replacement (enhanced quantities)</t>
  </si>
  <si>
    <t>State Initiatives</t>
  </si>
  <si>
    <t xml:space="preserve">Next Generation Student/School Management Software (basic) </t>
  </si>
  <si>
    <t>?</t>
  </si>
  <si>
    <t>State Bonds</t>
  </si>
  <si>
    <t>Individual Learning Plan (ILP)</t>
  </si>
  <si>
    <t>$365K*</t>
  </si>
  <si>
    <t>KDE</t>
  </si>
  <si>
    <t>KIDS</t>
  </si>
  <si>
    <t>Federal Funds</t>
  </si>
  <si>
    <t>Reading First/Read to Achieve</t>
  </si>
  <si>
    <t>$60K</t>
  </si>
  <si>
    <t>$160K</t>
  </si>
  <si>
    <t>Next Generation Kentucky Virtual High School</t>
  </si>
  <si>
    <t>$80K Hosting and $70K licensing plus $? Help desk</t>
  </si>
  <si>
    <t>$127K*</t>
  </si>
  <si>
    <t>Student/School Management Software Updates for basic modules for Next Generation SIS</t>
  </si>
  <si>
    <t xml:space="preserve">? </t>
  </si>
  <si>
    <t>Instructional\Administrative Software Maintenance Licenses and Telecommunications Lines that are for or go directly to School Districts</t>
  </si>
  <si>
    <t>Instructional Systems Operations and Maintenance Services that Students, Teachers, Support Staff or School District Leadership Directly Access Daily</t>
  </si>
  <si>
    <t>Administrative Systems Operations and Maintenance for Teachers, Support Staff or School District Leadership</t>
  </si>
  <si>
    <t>KETS Leadership, Planning, Management, Research and Evaluation</t>
  </si>
  <si>
    <r>
      <t xml:space="preserve">Hardware </t>
    </r>
    <r>
      <rPr>
        <b/>
        <sz val="9"/>
        <rFont val="Arial"/>
        <family val="2"/>
      </rPr>
      <t>(Incremental Replacement)</t>
    </r>
  </si>
  <si>
    <r>
      <t xml:space="preserve">Network </t>
    </r>
    <r>
      <rPr>
        <b/>
        <sz val="9"/>
        <rFont val="Arial"/>
        <family val="2"/>
      </rPr>
      <t>(Incremental Replacement)</t>
    </r>
  </si>
  <si>
    <r>
      <t xml:space="preserve">Voice/Video Hardware </t>
    </r>
    <r>
      <rPr>
        <b/>
        <sz val="9"/>
        <rFont val="Arial"/>
        <family val="2"/>
      </rPr>
      <t>(Incremental Replacement)</t>
    </r>
  </si>
  <si>
    <r>
      <t>Hardware</t>
    </r>
    <r>
      <rPr>
        <b/>
        <sz val="9"/>
        <rFont val="Arial"/>
        <family val="2"/>
      </rPr>
      <t xml:space="preserve"> (Incremental Replacement)</t>
    </r>
  </si>
  <si>
    <r>
      <t>Network</t>
    </r>
    <r>
      <rPr>
        <b/>
        <sz val="9"/>
        <rFont val="Arial"/>
        <family val="2"/>
      </rPr>
      <t xml:space="preserve"> (Incremental Replacement)</t>
    </r>
  </si>
  <si>
    <r>
      <t>Hardware Warranty / Repair</t>
    </r>
    <r>
      <rPr>
        <b/>
        <sz val="8"/>
        <rFont val="Arial"/>
        <family val="2"/>
      </rPr>
      <t xml:space="preserve"> (Parts and Labor)</t>
    </r>
  </si>
  <si>
    <t>Math Software</t>
  </si>
  <si>
    <t>Student /School Management Software Updates for optional modules for Next Generation SIS</t>
  </si>
  <si>
    <t>Definition of Line Item</t>
  </si>
  <si>
    <t>Ratio</t>
  </si>
  <si>
    <t>Per Unit</t>
  </si>
  <si>
    <t>Hardware that permits a computer to be used by a special needs teacher/student/staff, while not restricting use by others. (per IEP)</t>
  </si>
  <si>
    <t>Shared classroom printer or consolidation of printing for group of classrooms.</t>
  </si>
  <si>
    <t>Level 1 Laser monochrome network printer with a 1 year warranty (warranty cost beyond 1 yr. Exceed value of printer). Based upon average price of existing KETS Laser Printer Contracts</t>
  </si>
  <si>
    <t>Shared school printer for use of higher quality instructional printing requirements. (1 for schools under 600 ADA and 2 for schools over 600b ADA)</t>
  </si>
  <si>
    <t>Lev. 2 Color Laser Network Printer with a 1 year warranty. Based upon average price of existing KETS Laser Printer Contracts</t>
  </si>
  <si>
    <t xml:space="preserve">Shared Instructional Fileserver for instructional/multi-media applications use, shared printing services, etc.. </t>
  </si>
  <si>
    <t>Includes principal, asst principal, counselor, secretary, bookkeeper (excludes nurse, lunchroom, custodian); includes 4 year warranty</t>
  </si>
  <si>
    <t>Includes; wire runs, patch cables, connectors, faceplates, conduit, cable trays, labels, wiring closet, closet interconnections, &amp; labor.</t>
  </si>
  <si>
    <t>Price Criteria Used</t>
  </si>
  <si>
    <t>IEP</t>
  </si>
  <si>
    <t>Teacher</t>
  </si>
  <si>
    <t>School (plus 1 if ADA over 600)</t>
  </si>
  <si>
    <t>School (plus 2 per ATC) - includes principal, asst. prin., secr. , counselor, school clerk)</t>
  </si>
  <si>
    <t xml:space="preserve">Average based on 75% standard student desktop and 25% standard student Laptop. Based on average price of existing KETS workstation contracts. </t>
  </si>
  <si>
    <t>Computer, monitor, installation, warranty for refresh cycle period. Based on 75% Tier 1 desktop , 25% Tier 1 laptop (no monitor)</t>
  </si>
  <si>
    <t>Based on 25% standard teacher desktop and 75% standard teacher laptop (docking station / keyboard / mouse). Based on average price of existing KETS workstation contracts</t>
  </si>
  <si>
    <t>Computer, monitor, installation, warranty for refresh cycle period. Based on 35% Tier 2 desktop  (Tier 2 accommodates interactive classroom interaction) Based on 65% Tier 2 laptop (docking station/keyboard/mouse). (Tier 2 accommodates interactive classroom interaction)</t>
  </si>
  <si>
    <t>Fixed price Rack Mount Server. Based on average price of existing KETS File Server contracts.</t>
  </si>
  <si>
    <t>Based on 50% standard teacher desktop and 50% standard teacher laptop (docking station / keyboard / mouse). Based on average price of existing KETS workstation contracts</t>
  </si>
  <si>
    <t>*Now priced on 1Gb/sec PoE capable RJ-45 port cost - $90, $70 is accurate if you want non-PoE) assumes fileservers located in wiring closet / distribution center. Based on information received from Gartner referencing industry pricing and observed spending patterns.</t>
  </si>
  <si>
    <t xml:space="preserve">Based on vendor input from both KETS voice hardware contracts. Average of both vendors. </t>
  </si>
  <si>
    <t>System providing phone services throughout school.This pricing is from both KETS voice hardware contract vendors</t>
  </si>
  <si>
    <t>50% Tier 1 Desktop and 50% Tier 1 Laptop. With keyboard, mouse, docking station (no monitor). Pricing based on average price of existing KETS workstation contracts. Three workstations per district with an additional workstation for each school.</t>
  </si>
  <si>
    <t>Pulled from current TAR as average of 176 districts (174 + KSB + KSD)</t>
  </si>
  <si>
    <t>Based on KIH2 contract pricing.</t>
  </si>
  <si>
    <t>Based upon price of KETS Microsoft EES Agreement.</t>
  </si>
  <si>
    <t>FTE</t>
  </si>
  <si>
    <t>Districts equal 174 + KSB &amp; KSD</t>
  </si>
  <si>
    <t xml:space="preserve">Data source 2011 EdFacts Data Collection. Excludes ATC, Locally owned VocEd Centers, and FRYSC teachers - tech readiness has 44,.466 (Dec 11) </t>
  </si>
  <si>
    <t># of Exceptional children – EdFacts</t>
  </si>
  <si>
    <t>FY11 Expenses based on current TAR</t>
  </si>
  <si>
    <t>I. Content/Information (Instructional/Admin) – Presentation Layer</t>
  </si>
  <si>
    <t>Represents the desired information users need access to, be it instructional or administrative.  This category would include software, services, media – either served locally or hosted.</t>
  </si>
  <si>
    <t>KSIS annual licensing fee for basic modules</t>
  </si>
  <si>
    <t>Web based Instructional/Assement Tools</t>
  </si>
  <si>
    <t>Desktop Software Updates/Replacement</t>
  </si>
  <si>
    <t>(Desktop software updates based on Microsoft EES Software Agreement pricing)</t>
  </si>
  <si>
    <t>(Classroom instructional software that does not include OS, Productivity, Virus Protections, etc.)</t>
  </si>
  <si>
    <t>Financial Management System annual licensing fee</t>
  </si>
  <si>
    <t>(Desktop software updates based on Microsoft EES Software Agreement pricing) -- Enhanced Capacity to cover 1:1 installs</t>
  </si>
  <si>
    <t>KSIS annual licensing fee for optional modules</t>
  </si>
  <si>
    <t>Cafeteria Management System</t>
  </si>
  <si>
    <t>Library Management Systems</t>
  </si>
  <si>
    <t>Transportation Systems</t>
  </si>
  <si>
    <t>Computer Based Assessment</t>
  </si>
  <si>
    <t xml:space="preserve">II: Technology Integration </t>
  </si>
  <si>
    <t>The efforts required to maximize technology usage; integration into the learning environment, digital citizenship, technology literacy, professional development, technology integration specialists.</t>
  </si>
  <si>
    <t>Professional Development - Training for Teacher, School &amp; District Staff</t>
  </si>
  <si>
    <t>(one on one training, stipends, substitutes, etc.)</t>
  </si>
  <si>
    <t>Professional Development -- TIS School &amp; District Staff</t>
  </si>
  <si>
    <t xml:space="preserve">III: Tools in the Educational Environment </t>
  </si>
  <si>
    <t>Includes all resource equipment that end-users (students, teachers, staff) require for collaboration; Smart classrooms, formative assessment systems, projectors, printers, video conferencing systems, etc.</t>
  </si>
  <si>
    <t>District-wide Printing</t>
  </si>
  <si>
    <t>Intelligent Classroom (hardware/software)</t>
  </si>
  <si>
    <t>(interactive whiteboard, projectors, student response system, document camera, video display, wireless interactive slates/pads.)</t>
  </si>
  <si>
    <t>Hardware Warranty (Enhanced/extended warranty)</t>
  </si>
  <si>
    <t xml:space="preserve">IV: Access/ Infrastructure/Connectivity </t>
  </si>
  <si>
    <t>Includes all components needed to connect the end-user device to the desired content;  All wiring, wireless, network electronics, WAN links, servers, voice systems, data centers, etc – either on-prem or cloud-based.</t>
  </si>
  <si>
    <t>District-wide WAN Connectivity</t>
  </si>
  <si>
    <t>School WAN Hardware</t>
  </si>
  <si>
    <t>(GBIC at both ends for fiber connection)</t>
  </si>
  <si>
    <t>School WAN Data Line</t>
  </si>
  <si>
    <t>School LAN Connectivity</t>
  </si>
  <si>
    <t>School Wired Connectivity</t>
  </si>
  <si>
    <t>(Voice, video, data, network aware Intelligent Classroom Devices, Wiring closet, MDF to IDF fiber)</t>
  </si>
  <si>
    <t>School Wireless Connectivity</t>
  </si>
  <si>
    <t>(WAPs, Security Switch, Security Switch Software)</t>
  </si>
  <si>
    <t>District Office Wired Connecitivity</t>
  </si>
  <si>
    <t>District Wireless Connecitivity</t>
  </si>
  <si>
    <t>Voice Services</t>
  </si>
  <si>
    <t>Phone System Hardware, Software and/or Services</t>
  </si>
  <si>
    <t>Telco Lines</t>
  </si>
  <si>
    <t>File Server/Data Storage Services</t>
  </si>
  <si>
    <t>Shared Storage, Printing and Application Hardware Services</t>
  </si>
  <si>
    <t>(Server Hardware)</t>
  </si>
  <si>
    <t>District Shared Instructional File Servers, Storage and Printing Service Servers</t>
  </si>
  <si>
    <t>Shared Storage, Printing and Application Software</t>
  </si>
  <si>
    <t>(Server Software)</t>
  </si>
  <si>
    <t>District Provided Supplemental Internet Access</t>
  </si>
  <si>
    <t>Server/Data Storage Services</t>
  </si>
  <si>
    <t xml:space="preserve">V: End User Device </t>
  </si>
  <si>
    <t>The actual device that students, teachers, and staff utilize to access the desired information (content), and includes all form-factors and ownership models.</t>
  </si>
  <si>
    <t>District -wide Staff Workstations</t>
  </si>
  <si>
    <t>Student Instructional Device (Enhanced Ratios of 1:1/3:1)</t>
  </si>
  <si>
    <t>VI: People</t>
  </si>
  <si>
    <t xml:space="preserve">The human element required to support education technology in the learning environment (both instructional and administrative).  This includes Technology Leadership (CIO/CTO), technical support (Help Desk, Technicians, System Administrators, etc.). </t>
  </si>
  <si>
    <t>Technology Support Staff</t>
  </si>
  <si>
    <t>(tool belt repair people, District/School Network Admins, District/School Web Admins, District/School Web Master)</t>
  </si>
  <si>
    <t>School Technology Coordinator (STC)</t>
  </si>
  <si>
    <t>VII: State Shared Services</t>
  </si>
  <si>
    <t>Technology services (people, technology, etc.) that is provisioned by the Office of Knowledge, Information &amp; Data Services.</t>
  </si>
  <si>
    <t>Enterprise End User Security Services (hardware &amp; software)</t>
  </si>
  <si>
    <t>(McAfee, WSUS)</t>
  </si>
  <si>
    <t>Enterprise Services (hardware &amp; software)</t>
  </si>
  <si>
    <t>(TMG, Directory Services, Messaging)</t>
  </si>
  <si>
    <t>KETS Shared personnel services</t>
  </si>
  <si>
    <t>KSIS annual licensing fee for basic modules (State Expenditure)</t>
  </si>
  <si>
    <t>CIITS (State Expenditure)</t>
  </si>
  <si>
    <t xml:space="preserve">Encyclomedia </t>
  </si>
  <si>
    <t>Desktop Software annual licensing fee (State Expenditure)</t>
  </si>
  <si>
    <t>Crosswalk to Row on New Proposed Budget worksheet</t>
  </si>
  <si>
    <t>128, 42, 100, 109, 121</t>
  </si>
  <si>
    <t>2012 Data</t>
  </si>
  <si>
    <t>Average Cost per Unit (old)</t>
  </si>
  <si>
    <t>Annual Cost (old)</t>
  </si>
  <si>
    <t>Units of Sustained Need (old)</t>
  </si>
  <si>
    <t>Annual Maintenance (old)</t>
  </si>
  <si>
    <t>Annual Unit Cost (old)</t>
  </si>
  <si>
    <t>TAR Average Per Year (FY10 &amp; FY11)</t>
  </si>
  <si>
    <t>Student Instructional Device - EDTECH Funds</t>
  </si>
  <si>
    <t>Student Instructional Device - OTHER Funds</t>
  </si>
  <si>
    <t>Assistive Adaptive - EDTECH Funds</t>
  </si>
  <si>
    <t>Assistive Adaptive - OTHER Funds</t>
  </si>
  <si>
    <t>New Technology - Misc - EDTECH Funds</t>
  </si>
  <si>
    <t>New Technology - Misc - OTHER Funds</t>
  </si>
  <si>
    <t>Teacher Workstation - EDTECH Funds</t>
  </si>
  <si>
    <t>Teacher Workstation - OTHER Funds</t>
  </si>
  <si>
    <t>Class Printer - EDTECH Funds</t>
  </si>
  <si>
    <t>Class Printer - OTHER Funds</t>
  </si>
  <si>
    <t>Shared Instruct Printer - EDTECH Funds</t>
  </si>
  <si>
    <t>Shared Instruct Priner - OTHER Funds</t>
  </si>
  <si>
    <t>Shared Instruct - File Server - EDTECH Funds</t>
  </si>
  <si>
    <t>Shared Instruct - File Server - OTHER Funds</t>
  </si>
  <si>
    <t>Staff Workstation - EDTECH Funds</t>
  </si>
  <si>
    <t>Staff Workstation - OTHER Funds</t>
  </si>
  <si>
    <t>School Staff  Printer - EDTECH Funds</t>
  </si>
  <si>
    <t>School Staff  Printer - OTHER Funds</t>
  </si>
  <si>
    <t>School Admin File Server - EDTECH Funds</t>
  </si>
  <si>
    <t>School Admin File Server - Other Funds</t>
  </si>
  <si>
    <t>Wiring Runs - EDTECH Funds</t>
  </si>
  <si>
    <t>Wiring Runs - Other Funds</t>
  </si>
  <si>
    <t>Wiring Closet - EDTECH Funds</t>
  </si>
  <si>
    <t>Wiring Closet - OTHER Funds</t>
  </si>
  <si>
    <t>Ethernet Port - EDTECH Funds</t>
  </si>
  <si>
    <t>Ethernet Port - OTHER Funds</t>
  </si>
  <si>
    <t>WAN Connect - Router &amp; CSU/DSU - EDTECH Funds</t>
  </si>
  <si>
    <t>WAN Connect - Router &amp; CSU/DSU - OTHER Funds</t>
  </si>
  <si>
    <t>WAN Conect - Fiber - EDTECH Funds</t>
  </si>
  <si>
    <t>WAN Conect - Fiber - OTHER Funds</t>
  </si>
  <si>
    <t>School WAN Internet Connection - EDTECH Funds</t>
  </si>
  <si>
    <t>School WAN Internet Connection - OTHER Fund</t>
  </si>
  <si>
    <t>LAN Connect - Fiber - EDTECH Funds</t>
  </si>
  <si>
    <t>LAN Connect - Fiber - OTHER Funds</t>
  </si>
  <si>
    <t>Wireless Access - EDTECH Funds</t>
  </si>
  <si>
    <t>Wireless Access - OTHER Funds</t>
  </si>
  <si>
    <t>Multi-Media Appl &amp; Srvcs - EDTECH Funds</t>
  </si>
  <si>
    <t>Multi-Media Appl &amp; Srvcs - OTHER Funds</t>
  </si>
  <si>
    <t>Other Hardware - EDTECH Funds</t>
  </si>
  <si>
    <t>Other Hardware - OTHER Funds</t>
  </si>
  <si>
    <t>Other Computing Devices - EDTECH Funds</t>
  </si>
  <si>
    <t>Other Computing Devices - OTHER Funds</t>
  </si>
  <si>
    <t>Audio/Visual Devices - EDTECH Funds</t>
  </si>
  <si>
    <t>Audio/Visual Devices - OTHER Funds</t>
  </si>
  <si>
    <t>School Phone Systems - EDTECH Funds</t>
  </si>
  <si>
    <t>School Phone Systems - OTHER Funds</t>
  </si>
  <si>
    <t>Interactive Classroom - EDTECH Funds</t>
  </si>
  <si>
    <t>Interactive Classroom - OTHER Funds</t>
  </si>
  <si>
    <t>New Purchase of District/School Student Mgmt Software &amp; Library Inf Mgmt - EDTECH Funds</t>
  </si>
  <si>
    <t>New Purchase of District/School Student Mgmt Software &amp; Library Inf Mgmt - OTHER Funds</t>
  </si>
  <si>
    <t>District Staff Workstations - EDTECH Funds</t>
  </si>
  <si>
    <t>District Staff Workstations - OTHER Funds</t>
  </si>
  <si>
    <t>District Staff  Printers - EDTECH Funds</t>
  </si>
  <si>
    <t>District Staff  Printers - OTHER Funds</t>
  </si>
  <si>
    <t>Printers at other locations - EDTECH Funds</t>
  </si>
  <si>
    <t>Printers at other locations - OTHER Funds</t>
  </si>
  <si>
    <t>District ADMIN File Server - EDTECH Funds</t>
  </si>
  <si>
    <t>District ADMIN File Server - OTHER Funds</t>
  </si>
  <si>
    <t>District Comm/Appl File Server - EDTECH Funds</t>
  </si>
  <si>
    <t>District Comm/Appl File Server - OTHER Funds</t>
  </si>
  <si>
    <t>District Shared Desktop and LAN SW - EDTECH Funds</t>
  </si>
  <si>
    <t>District Shared Desktop and LAN SW - OTHER Funds</t>
  </si>
  <si>
    <t>District to School Internet Conct-Traditional Leased Line- EDTECH Funds</t>
  </si>
  <si>
    <t>District to School Internet Conct-Traditional Leased Line- OTHER Funds</t>
  </si>
  <si>
    <t>District to School Internet Conct-High Speed Fiber Line- EDTECH Funds</t>
  </si>
  <si>
    <t>District to School Internet Conct-High Speed FiberLine- OTHER Funds</t>
  </si>
  <si>
    <t>District to School Internet Conct-High Speed Ethernet Line- EDTECH Funds</t>
  </si>
  <si>
    <t>District to School Internet Conct-High Speed Ethernet Line- OTHER Funds</t>
  </si>
  <si>
    <t>Point to Point Site - EDTECH Funds</t>
  </si>
  <si>
    <t>Point to Point Site - OTHER Funds</t>
  </si>
  <si>
    <t>Fiber Connection Site - EDTECH Funds</t>
  </si>
  <si>
    <t>Fiber Connection Site - OTHER Funds</t>
  </si>
  <si>
    <t>District Shared Telecomm Router - EDTECH Funds</t>
  </si>
  <si>
    <t>District Shared Telecomm Router - OTHER Funds</t>
  </si>
  <si>
    <t>CIO/DTC, Technicial Staff, TRT, STC, Network Admin, Web Admin, Web Master - EDTECH Funds</t>
  </si>
  <si>
    <t>CIO/DTC, Technicial Staff, TRT, STC, Network Admin, Web Admin, Web Master - OTHER Funds</t>
  </si>
  <si>
    <t>STLP Program Support - EDTECH Funds</t>
  </si>
  <si>
    <t>STLP Program Support - OTHER Funds</t>
  </si>
  <si>
    <t>District Data Lines - EDTECH Funds</t>
  </si>
  <si>
    <t>District Data Lines - OTHER Funds</t>
  </si>
  <si>
    <t>Fiber - EDTECH Funds</t>
  </si>
  <si>
    <t>Fiber - OTHER Funds</t>
  </si>
  <si>
    <t>District Voice Lines - EDTECH Funds</t>
  </si>
  <si>
    <t>District Voice Lines - OTHER Funds</t>
  </si>
  <si>
    <t>Proficiency Training - EDTECH Funds</t>
  </si>
  <si>
    <t>Proficiency Training - OTHER Funds</t>
  </si>
  <si>
    <t>Student Hardware Maint - EDTECH Funds</t>
  </si>
  <si>
    <t>Student Hardware Maint - OTHER Funds</t>
  </si>
  <si>
    <t>School Hardware Maint - EDTECH Funds</t>
  </si>
  <si>
    <t>School Hardware Maint - OTHER Funds</t>
  </si>
  <si>
    <t>School Network HW Maint - EDTECH Funds</t>
  </si>
  <si>
    <t>School Network HW Maint - OTHER Funds</t>
  </si>
  <si>
    <t>District HW Maint - EDTECH Funds</t>
  </si>
  <si>
    <t>District HW Maint - OTHER Funds</t>
  </si>
  <si>
    <t>District Network HW Maint - EDTECH Funds</t>
  </si>
  <si>
    <t>District Network HW Maint - OTHER Funds</t>
  </si>
  <si>
    <t>Hardware Maintenance Agreements - EDTECH Funds</t>
  </si>
  <si>
    <t>Hardware Maintenance Agreements - OTHER Funds</t>
  </si>
  <si>
    <t>Phone System Maintenance - EDTECH Funds</t>
  </si>
  <si>
    <t>Phone System Maintenance - OTHER Funds</t>
  </si>
  <si>
    <t>New Software Purchases - EDTECH Funds</t>
  </si>
  <si>
    <t>New Software Purchases - OTHER Funds</t>
  </si>
  <si>
    <t>Workstation Operating System Updates - EDTECH Funds</t>
  </si>
  <si>
    <t>Workstation Operating System Updates - OTHER Funds</t>
  </si>
  <si>
    <t>File Server Operating System Updates - EDTECH Funds</t>
  </si>
  <si>
    <t>File Server Operating System Updates - OTHER Funds</t>
  </si>
  <si>
    <t>Upgrage of District/Student Information Software- EDTECH Funds</t>
  </si>
  <si>
    <t>Software Updates - EDTECH Funds</t>
  </si>
  <si>
    <t>Software Updates - OTHER Funds</t>
  </si>
  <si>
    <t>District Office Services Software - EDTECH Funds</t>
  </si>
  <si>
    <t>District Office Services Software - OTHER Funds</t>
  </si>
  <si>
    <t>Total EDTECH Funds</t>
  </si>
  <si>
    <t>Total Other Funds</t>
  </si>
  <si>
    <t>TOTAL EDTECH &amp; OTHER</t>
  </si>
  <si>
    <t>310-53-000; 310-54-000; 310-55-000; 310-56-000; 310-60-000; 310-61-000; 310-62-000</t>
  </si>
  <si>
    <t>310-85-005</t>
  </si>
  <si>
    <t>310-86-006</t>
  </si>
  <si>
    <t>310-53-010; 310-54-010; 310-55-010; 310-56-010; 310-60-010; 310-61-010; 310-62-010</t>
  </si>
  <si>
    <t>310-76-015; 310-77-015; 310-78-015; 310-80-015; 310-81-015; 310-82-015</t>
  </si>
  <si>
    <t>310-77-020; 310-78-020; 310-79-020; 310-80-020; 310-81-020; 310-82-020</t>
  </si>
  <si>
    <t>310-55-025; 310-56-025; 310-57-025; 310-58-025</t>
  </si>
  <si>
    <t>310-53-030; 310-54-030; 310-55-030; 310-56-030; 310-60-030; 310-61-030; 310-62-030</t>
  </si>
  <si>
    <t>310-77-035; 310-78-035; 310-79-035; 310-80-035; 310-81-035; 310-82-035</t>
  </si>
  <si>
    <t>310-55-040; 310-56-040; 310-57-040; 31058-040</t>
  </si>
  <si>
    <t>310-29-045</t>
  </si>
  <si>
    <t>310-36-075</t>
  </si>
  <si>
    <t>310-64-080</t>
  </si>
  <si>
    <t>310-64-085</t>
  </si>
  <si>
    <t>310-64-090</t>
  </si>
  <si>
    <t>310-64-091</t>
  </si>
  <si>
    <t>310-64-095</t>
  </si>
  <si>
    <t>310-66-096</t>
  </si>
  <si>
    <t>310-79-100; 310-80-100; 310-82-100; 310-83-100; 310-84-100; 310-86-100; 310-87-100; 310-88-100</t>
  </si>
  <si>
    <t>310-73-101</t>
  </si>
  <si>
    <t>310-74-102</t>
  </si>
  <si>
    <t>310-78-104; 310-79-104</t>
  </si>
  <si>
    <t>310-56-105; 310-57-105; 310-58-105; 310-59-105</t>
  </si>
  <si>
    <t>310-76-106; 310-77-106; 310-78-106; 310-81-106; 310-85-106</t>
  </si>
  <si>
    <t>310-37-110; ; 310-59-110; 310-60-110; 310-59-250</t>
  </si>
  <si>
    <t>310-53-115; 310-54-115; 310-55-115; 310-56-115; 310-60-115; 310-61-115; 310-62-115</t>
  </si>
  <si>
    <t>310-77-120; 310-78-120; 310-79-120; 310-80-120; 310-81-120; 310-82-120</t>
  </si>
  <si>
    <t>310-77-121; 310-78-121; 310-79-121; 310-80-121; 310-81-121; 310-82-121</t>
  </si>
  <si>
    <t>310-55-125; 310-56-125; 310-57-125; 310-58-125; 310-58-158</t>
  </si>
  <si>
    <t>310-55-135; 310-56-135; 310-57-135; 310-58-135</t>
  </si>
  <si>
    <t>310-90-140</t>
  </si>
  <si>
    <t>310-64-165</t>
  </si>
  <si>
    <t>310-64-166</t>
  </si>
  <si>
    <t>310-64-167</t>
  </si>
  <si>
    <t>310-64-170</t>
  </si>
  <si>
    <t>310-64-175</t>
  </si>
  <si>
    <t>310-64-180</t>
  </si>
  <si>
    <t>310-23-185; 310-24-185; 310-25-185; 310-26-185; 310-27-185; 310-28-185; 310-29-185; 310-30-185; 310-31-185; 310-32-185; 310-33-185; 310-34-185</t>
  </si>
  <si>
    <t>310-64-190; 310-65-190; 310-66-190</t>
  </si>
  <si>
    <t>310-79-200</t>
  </si>
  <si>
    <t>310-99-201</t>
  </si>
  <si>
    <t>310-77-205</t>
  </si>
  <si>
    <t>310-25-210; 310-35-210; 310-60-210; 310-64-210; 310-65-210; 310-66-210</t>
  </si>
  <si>
    <t>310-21-215</t>
  </si>
  <si>
    <t>310-21-220</t>
  </si>
  <si>
    <t>310-37-225</t>
  </si>
  <si>
    <t>310-21-225</t>
  </si>
  <si>
    <t>310-21-230</t>
  </si>
  <si>
    <t>310-37-235</t>
  </si>
  <si>
    <t>310-38-236</t>
  </si>
  <si>
    <t>310-59-237</t>
  </si>
  <si>
    <t>310-42-240; 310-44-240; 310-54-240; 310-55-240; 310-56-240; 310-57-240; 310-58-240; 310-59-240; 310-60-240; 310-61-240; 310-62-240; 310-63-240; 310-64-240; 310-65-240; 310-66-240; 310-67-240; 310-68-240</t>
  </si>
  <si>
    <t>310-90-245; 310-91-245; 310-92-245; 310-93-245; 310-94-245; 310-95-245; 310-96-245; 310-97-245</t>
  </si>
  <si>
    <t>310-55-246; 310-56-246; 310-57-246; 310-58-246</t>
  </si>
  <si>
    <t>310-37-250; 310-60-250</t>
  </si>
  <si>
    <t>310-42-255; 310-44-255; 310-54-255; 310-55-255; 310-56-255; 310-57-255; 310-58-255; 310-59-255; 310-60-255; 310-61-255; 310-62-255; 310-63-255; 310-64-255; 310-65-255; 310-66-255; 310-67-255; 310-68-255</t>
  </si>
  <si>
    <t>310-05-265</t>
  </si>
  <si>
    <t>FY11 TOTAL</t>
  </si>
  <si>
    <t>310-37-110; 310-59-110; 310-60-110; 310-59-250</t>
  </si>
  <si>
    <t>310-55-125; 310-56-125; 310-57-125; 310-58-125</t>
  </si>
  <si>
    <t>FY10 TOTAL</t>
  </si>
  <si>
    <t>Student Workstation - EDTECH Funds</t>
  </si>
  <si>
    <t>Student Workstation - OTHER Funds</t>
  </si>
  <si>
    <t>Data Wiring Runs - EDTECH Funds</t>
  </si>
  <si>
    <t>Data Wiring Runs - OTHER Funds</t>
  </si>
  <si>
    <t>District to School Internet Conct-Frame RTR CSU/DSU - EDTECH Funds</t>
  </si>
  <si>
    <t>District to School Internet Conct-Frame RTR CSU/DSU - OTHER Funds</t>
  </si>
  <si>
    <t>CIO/DTC, Technicial Staff, TRT, STC - EDTECH Funds</t>
  </si>
  <si>
    <t>CIO/DTC, Technicial Staff, TRT, STC - OTHER Funds</t>
  </si>
  <si>
    <t>Upgrage of Library Inf MGT Software Maint  &amp; Student Mgmt Software- EDTECH Funds</t>
  </si>
  <si>
    <t>Upgrage of Library Inf MGT Software Maint  &amp; Student Mgmt Software- OTHER Funds</t>
  </si>
  <si>
    <t>310-53-000; 310-54-000; 310-60-000; 310-61-000; 310-62-000</t>
  </si>
  <si>
    <t>310-53-010; 310-54-010; 310-60-010; 310-61-010; 310-62-010</t>
  </si>
  <si>
    <t>310-76-015; 310-77-015; 310-78-015; 310-80-015; 310-81-015</t>
  </si>
  <si>
    <t>310-77-020; 310-78-020; 310-79-020; 310-80-020; 310-81-020</t>
  </si>
  <si>
    <t>310-55-025; 310-56-025</t>
  </si>
  <si>
    <t>310-53-030; 310-54-030; 310-60-030; 310-61-030; 310-62-030</t>
  </si>
  <si>
    <t>310-77-035; 310-78-035; 310-79-035; 310-80-035; 310-81-035</t>
  </si>
  <si>
    <t>310-55-040; 310-56-040</t>
  </si>
  <si>
    <t>310-29-045; 310-29-060; 310-36-150</t>
  </si>
  <si>
    <t>310-64-155; 310-64-080</t>
  </si>
  <si>
    <t>310-75-100</t>
  </si>
  <si>
    <t>310-56-105; 310-57-105; 310-58-105</t>
  </si>
  <si>
    <t>310-37-110; 310-59-110; 310-60-110</t>
  </si>
  <si>
    <t>310-53-115; 310-54-115; 310-60-115; 310-61-115; 310-62-115</t>
  </si>
  <si>
    <t>310-77-120; 310-78-120; 310-79-120; 310-80-120; 310-81-120</t>
  </si>
  <si>
    <t>310-77-121; 310-78-121; 310-79-121; 310-80-121; 310-81-121</t>
  </si>
  <si>
    <t>310-55-125; 310-56-125; 310-55-130</t>
  </si>
  <si>
    <t>310-55-135; 310-56-135</t>
  </si>
  <si>
    <t>310-23-185; 310-24-185; 310-25-185; 310-26-185; 310-27-185; 310-28-185</t>
  </si>
  <si>
    <t>310-43-240; 310-44-240; 310-53-240; 310-54-240</t>
  </si>
  <si>
    <t>310-90-245; 310-91-245; 310-92-245; 310-93-245</t>
  </si>
  <si>
    <t>310-55-246; 310-56-246</t>
  </si>
  <si>
    <t>310-37-250; 310-59-250; 310-60-250</t>
  </si>
  <si>
    <t>310-43-255; 310-44-255; 310-45-255; 310-46-255</t>
  </si>
  <si>
    <t>310-10-265; 310-20-265</t>
  </si>
  <si>
    <t>2-Year Average</t>
  </si>
  <si>
    <t>FY09 TOTAL</t>
  </si>
  <si>
    <t>FY08 TOTAL</t>
  </si>
  <si>
    <t>4-Year Average</t>
  </si>
  <si>
    <t xml:space="preserve">Note: In 08-09 there was a "Miscellaneous Software" category (310-55-247 thru 310-64-247). Between '09 and '10 the category was eliminated and additional codes were put in place to more accurately categorize software expenditures. </t>
  </si>
  <si>
    <t>P-20</t>
  </si>
  <si>
    <t>Miscellaneous -- New Technology</t>
  </si>
  <si>
    <t>Other Hardware</t>
  </si>
  <si>
    <t>Other Computing Devices</t>
  </si>
  <si>
    <t>District Office Services Software (other Business Modules software)</t>
  </si>
  <si>
    <t>District Financial Accounting System</t>
  </si>
  <si>
    <t>Annual maintenance paid by districts for Financial Accounting System</t>
  </si>
  <si>
    <t>Based upon per ADA cost with a minimum of $5,000 per districts</t>
  </si>
  <si>
    <t>25% Tier 1 Desktop and 75% Tier 1 Laptop. With keyboard, mouse, docking station (no monitor). Pricing based on average price of existing KETS workstation contracts. Three workstations per district with an additional workstation for each school.</t>
  </si>
  <si>
    <t>MUNIS (Relicensing &amp; Cloud Services)</t>
  </si>
  <si>
    <t>MUNIS Enhancements</t>
  </si>
  <si>
    <t>Virus Protection</t>
  </si>
  <si>
    <t>Oracle</t>
  </si>
  <si>
    <t>Other related expenses</t>
  </si>
  <si>
    <t>FY12 budget includes Licensing &amp; Cloud Service Fee</t>
  </si>
  <si>
    <t>McAfee 3-year agreement was less than budgeted for FY11</t>
  </si>
  <si>
    <t>increase in number of licenses required</t>
  </si>
  <si>
    <t>this cost is split between EETT/KETS and increase is due to eliminated funding for EETT</t>
  </si>
  <si>
    <t xml:space="preserve"> (Details provided below)</t>
  </si>
  <si>
    <t>Help Desk (personnel)</t>
  </si>
  <si>
    <t>Microsoft Premier Support/Help Desk Support Calls</t>
  </si>
  <si>
    <t>MUNIS HelpDesk</t>
  </si>
  <si>
    <t>Help Desk Annual Subscription Costs</t>
  </si>
  <si>
    <t>KETS Field Staff (personnel &amp; travel)</t>
  </si>
  <si>
    <t>Infrastructure Svc (personnel/travel)</t>
  </si>
  <si>
    <t>Infrastructure Svc (annual subscription costs)</t>
  </si>
  <si>
    <t>Infrastructure Svc (Emergency Professional Services &amp; Hardware)</t>
  </si>
  <si>
    <t>see personnel notes</t>
  </si>
  <si>
    <t>Minor increase anticipated for MS Premier</t>
  </si>
  <si>
    <t>increased costs for district help desk support provided by MUNIS</t>
  </si>
  <si>
    <t>Decreased the cost of the Help Desk Institute subscriptions</t>
  </si>
  <si>
    <t>see personnel notes; $15K of increase for ISTE in San Deigo</t>
  </si>
  <si>
    <t>Applications Operations (personnel)</t>
  </si>
  <si>
    <t>Enterprise Data (personnel)</t>
  </si>
  <si>
    <t>Custom Report Development (Infinite Campus)</t>
  </si>
  <si>
    <t>KETS Leadership,Engineering &amp; Planning (personnel &amp; travel)</t>
  </si>
  <si>
    <t>Gartner, Norex memberships</t>
  </si>
  <si>
    <t>KETS Vendor Management (personnel &amp; travel)</t>
  </si>
  <si>
    <t>Annual Subscriptions/Maintenance</t>
  </si>
  <si>
    <t>Telephone</t>
  </si>
  <si>
    <t>Estimated Increase for annual memberships</t>
  </si>
  <si>
    <t>Minor Mntn increases</t>
  </si>
  <si>
    <t>decreased COT Telcom, increased Telephone Mntn</t>
  </si>
  <si>
    <t>Munis Nov. 2011</t>
  </si>
  <si>
    <t>Teacher Readiness Survey (Last known count of classrooms)</t>
  </si>
  <si>
    <t>Membership</t>
  </si>
  <si>
    <t>ADA (unadjusted for kindergarten)</t>
  </si>
  <si>
    <t>593177.063 ADA</t>
  </si>
  <si>
    <t>(adjusted for kindergarten – kindergarten only receives 50% funding – not sure if that matters to what you are working on or not)</t>
  </si>
  <si>
    <t xml:space="preserve">SAAR Membership 2010-11
</t>
  </si>
  <si>
    <t>SAAR State Total 2010-11</t>
  </si>
  <si>
    <t>Network Wiring Runs</t>
  </si>
  <si>
    <t>Network Hardware (School &amp; District)</t>
  </si>
  <si>
    <t>School Servers</t>
  </si>
  <si>
    <t>District Servers</t>
  </si>
  <si>
    <t>Student/School Management Software Updates/Replacement (Infinite Campus)</t>
  </si>
  <si>
    <t>SOP Number</t>
  </si>
  <si>
    <t>Customer Name</t>
  </si>
  <si>
    <t>Document Amount</t>
  </si>
  <si>
    <t>Amount Paid</t>
  </si>
  <si>
    <t>Payment Date</t>
  </si>
  <si>
    <t>Amount Due</t>
  </si>
  <si>
    <t>ANNUAL003896</t>
  </si>
  <si>
    <t>Adair County</t>
  </si>
  <si>
    <t>ANNUAL003897</t>
  </si>
  <si>
    <t>Allen County</t>
  </si>
  <si>
    <t>ANNUAL003898</t>
  </si>
  <si>
    <t>Anchorage Independent</t>
  </si>
  <si>
    <t>ANNUAL003899</t>
  </si>
  <si>
    <t>Anderson Co School District</t>
  </si>
  <si>
    <t>ANNUAL003900</t>
  </si>
  <si>
    <t>Ashland Independent</t>
  </si>
  <si>
    <t>ANNUAL003901</t>
  </si>
  <si>
    <t>Augusta Independent</t>
  </si>
  <si>
    <t>ANNUAL003902</t>
  </si>
  <si>
    <t>Ballard Co School District</t>
  </si>
  <si>
    <t>ANNUAL003903</t>
  </si>
  <si>
    <t>Barbourville Independent</t>
  </si>
  <si>
    <t>ANNUAL003904</t>
  </si>
  <si>
    <t>Bardstown Independent</t>
  </si>
  <si>
    <t>ANNUAL003905</t>
  </si>
  <si>
    <t>Barren Co School District</t>
  </si>
  <si>
    <t>ANNUAL003906</t>
  </si>
  <si>
    <t>Bath County</t>
  </si>
  <si>
    <t>ANNUAL003907</t>
  </si>
  <si>
    <t>Beechwood ISD</t>
  </si>
  <si>
    <t>ANNUAL003908</t>
  </si>
  <si>
    <t>Bell County</t>
  </si>
  <si>
    <t>ANNUAL003909</t>
  </si>
  <si>
    <t>Bellevue Independent</t>
  </si>
  <si>
    <t>ANNUAL003910</t>
  </si>
  <si>
    <t>Berea Independent</t>
  </si>
  <si>
    <t>ANNUAL003911</t>
  </si>
  <si>
    <t>Boone Co School District</t>
  </si>
  <si>
    <t>ANNUAL003912</t>
  </si>
  <si>
    <t>Bourbon County</t>
  </si>
  <si>
    <t>ANNUAL003914</t>
  </si>
  <si>
    <t>Bowling Green Independent</t>
  </si>
  <si>
    <t>ANNUAL003915</t>
  </si>
  <si>
    <t>Boyd Co School District</t>
  </si>
  <si>
    <t>ANNUAL003916</t>
  </si>
  <si>
    <t>Boyle Co School District</t>
  </si>
  <si>
    <t>ANNUAL003917</t>
  </si>
  <si>
    <t>Bracken County</t>
  </si>
  <si>
    <t>ANNUAL003918</t>
  </si>
  <si>
    <t>Breathitt County</t>
  </si>
  <si>
    <t>ANNUAL003919</t>
  </si>
  <si>
    <t>Breckinridge County</t>
  </si>
  <si>
    <t>ANNUAL003920</t>
  </si>
  <si>
    <t>Bullitt Co Public School</t>
  </si>
  <si>
    <t>ANNUAL003921</t>
  </si>
  <si>
    <t>Burgin Independent</t>
  </si>
  <si>
    <t>ANNUAL003922</t>
  </si>
  <si>
    <t>Butler County</t>
  </si>
  <si>
    <t>ANNUAL003923</t>
  </si>
  <si>
    <t>Caldwell Co School District</t>
  </si>
  <si>
    <t>ANNUAL003924</t>
  </si>
  <si>
    <t>Calloway County</t>
  </si>
  <si>
    <t>ANNUAL003931</t>
  </si>
  <si>
    <t>Campbell County Board of Education</t>
  </si>
  <si>
    <t>ANNUAL003934</t>
  </si>
  <si>
    <t>Campbellsville Independent</t>
  </si>
  <si>
    <t>ANNUAL003936</t>
  </si>
  <si>
    <t>Carlisle Co School District</t>
  </si>
  <si>
    <t>ANNUAL004423</t>
  </si>
  <si>
    <t>Carroll County</t>
  </si>
  <si>
    <t>Reissued invoice for 7/1 per districts request.</t>
  </si>
  <si>
    <t>ANNUAL003941</t>
  </si>
  <si>
    <t>Carter County</t>
  </si>
  <si>
    <t>ANNUAL003943</t>
  </si>
  <si>
    <t>Casey County</t>
  </si>
  <si>
    <t>ANNUAL003945</t>
  </si>
  <si>
    <t>Caverna Ind School District</t>
  </si>
  <si>
    <t>ANNUAL003947</t>
  </si>
  <si>
    <t>Christian Co School District</t>
  </si>
  <si>
    <t>ANNUAL003949</t>
  </si>
  <si>
    <t>Clark County Board of Education</t>
  </si>
  <si>
    <t>ANNUAL003952</t>
  </si>
  <si>
    <t>Clay County Board of Education</t>
  </si>
  <si>
    <t>ANNUAL003954</t>
  </si>
  <si>
    <t>Clinton County Board of Education</t>
  </si>
  <si>
    <t>ANNUAL003956</t>
  </si>
  <si>
    <t>Cloverport Independent</t>
  </si>
  <si>
    <t>ANNUAL003957</t>
  </si>
  <si>
    <t>Corbin Independent</t>
  </si>
  <si>
    <t>ANNUAL003958</t>
  </si>
  <si>
    <t>Covington Board of Education</t>
  </si>
  <si>
    <t>ANNUAL003960</t>
  </si>
  <si>
    <t>Crittenden County Board of Education</t>
  </si>
  <si>
    <t>ANNUAL003963</t>
  </si>
  <si>
    <t>Cumberland County</t>
  </si>
  <si>
    <t>ANNUAL003966</t>
  </si>
  <si>
    <t>Danville Independent</t>
  </si>
  <si>
    <t>ANNUAL003968</t>
  </si>
  <si>
    <t>Daviess Co School District</t>
  </si>
  <si>
    <t>ANNUAL003969</t>
  </si>
  <si>
    <t>Dawson Springs ISD</t>
  </si>
  <si>
    <t>ANNUAL003970</t>
  </si>
  <si>
    <t>Dayton Independent</t>
  </si>
  <si>
    <t>ANNUAL003971</t>
  </si>
  <si>
    <t>East Bernstadt Independent</t>
  </si>
  <si>
    <t>ANNUAL003973</t>
  </si>
  <si>
    <t>Edmonson County Board of Education</t>
  </si>
  <si>
    <t>ANNUAL004033</t>
  </si>
  <si>
    <t>Elizabethtown Independent</t>
  </si>
  <si>
    <t>ANNUAL004034</t>
  </si>
  <si>
    <t>Elliott County Board of Education</t>
  </si>
  <si>
    <t>ANNUAL004035</t>
  </si>
  <si>
    <t>Eminence Independent</t>
  </si>
  <si>
    <t>ANNUAL004036</t>
  </si>
  <si>
    <t>Erlanger Elsmere ISD</t>
  </si>
  <si>
    <t>ANNUAL004037</t>
  </si>
  <si>
    <t>Estill County</t>
  </si>
  <si>
    <t>ANNUAL004038</t>
  </si>
  <si>
    <t>Fairview Independent</t>
  </si>
  <si>
    <t>ANNUAL004039</t>
  </si>
  <si>
    <t>Fayette County Board of Education</t>
  </si>
  <si>
    <t>ANNUAL004040</t>
  </si>
  <si>
    <t>Fleming Co School District</t>
  </si>
  <si>
    <t>ANNUAL004042</t>
  </si>
  <si>
    <t>Floyd County</t>
  </si>
  <si>
    <t>ANNUAL004045</t>
  </si>
  <si>
    <t>Frankfort Independent</t>
  </si>
  <si>
    <t>ANNUAL004180</t>
  </si>
  <si>
    <t>Franklin County</t>
  </si>
  <si>
    <t>ANNUAL004043</t>
  </si>
  <si>
    <t>Ft Thomas ISD</t>
  </si>
  <si>
    <t>ANNUAL004047</t>
  </si>
  <si>
    <t>Fulton County</t>
  </si>
  <si>
    <t>ANNUAL004048</t>
  </si>
  <si>
    <t>Fulton Ind School District</t>
  </si>
  <si>
    <t>ANNUAL004049</t>
  </si>
  <si>
    <t>Gallatin Co School District</t>
  </si>
  <si>
    <t>ANNUAL004050</t>
  </si>
  <si>
    <t>Garrard Co School District</t>
  </si>
  <si>
    <t>ANNUAL004051</t>
  </si>
  <si>
    <t>Glasgow Independent</t>
  </si>
  <si>
    <t>ANNUAL004052</t>
  </si>
  <si>
    <t>Grant County</t>
  </si>
  <si>
    <t>ANNUAL004053</t>
  </si>
  <si>
    <t>Graves Co School District</t>
  </si>
  <si>
    <t>ANNUAL004054</t>
  </si>
  <si>
    <t>Grayson Co School District</t>
  </si>
  <si>
    <t>ANNUAL004055</t>
  </si>
  <si>
    <t>Green County</t>
  </si>
  <si>
    <t>ANNUAL004044</t>
  </si>
  <si>
    <t>Greenup County</t>
  </si>
  <si>
    <t>ANNUAL004057</t>
  </si>
  <si>
    <t>Hancock County Board of Education</t>
  </si>
  <si>
    <t>ANNUAL004058</t>
  </si>
  <si>
    <t>Hardin Co School District</t>
  </si>
  <si>
    <t>ANNUAL004060</t>
  </si>
  <si>
    <t>Harlan County</t>
  </si>
  <si>
    <t>ANNUAL004061</t>
  </si>
  <si>
    <t>Harlan Independent</t>
  </si>
  <si>
    <t>ANNUAL004062</t>
  </si>
  <si>
    <t>Harrison County</t>
  </si>
  <si>
    <t>ANNUAL004063</t>
  </si>
  <si>
    <t>Hart Co School District</t>
  </si>
  <si>
    <t>ANNUAL004064</t>
  </si>
  <si>
    <t>Hazard Independent</t>
  </si>
  <si>
    <t>ANNUAL004065</t>
  </si>
  <si>
    <t>Henderson Co School District</t>
  </si>
  <si>
    <t>ANNUAL004067</t>
  </si>
  <si>
    <t>Henry Co Public School District</t>
  </si>
  <si>
    <t>ANNUAL004068</t>
  </si>
  <si>
    <t>Hickman County</t>
  </si>
  <si>
    <t>ANNUAL004069</t>
  </si>
  <si>
    <t>Hopkins Co School District</t>
  </si>
  <si>
    <t>ANNUAL004070</t>
  </si>
  <si>
    <t>Jackson County</t>
  </si>
  <si>
    <t>ANNUAL004071</t>
  </si>
  <si>
    <t>Jackson Independent</t>
  </si>
  <si>
    <t>ANNUAL004072</t>
  </si>
  <si>
    <t>Jefferson County Public School</t>
  </si>
  <si>
    <t>ANNUAL004073</t>
  </si>
  <si>
    <t>Jenkins Independent</t>
  </si>
  <si>
    <t>ANNUAL004074</t>
  </si>
  <si>
    <t>Jessamine County</t>
  </si>
  <si>
    <t>ANNUAL004075</t>
  </si>
  <si>
    <t>Johnson County</t>
  </si>
  <si>
    <t>ANNUAL004076</t>
  </si>
  <si>
    <t>Kenton Co School District</t>
  </si>
  <si>
    <t>ANNUAL004077</t>
  </si>
  <si>
    <t>Kentucky Department of Education</t>
  </si>
  <si>
    <t>ANNUAL004078</t>
  </si>
  <si>
    <t>Knott County</t>
  </si>
  <si>
    <t>ANNUAL004079</t>
  </si>
  <si>
    <t>Knox County</t>
  </si>
  <si>
    <t>ANNUAL004080</t>
  </si>
  <si>
    <t>LaRue County</t>
  </si>
  <si>
    <t>ANNUAL004081</t>
  </si>
  <si>
    <t>Laurel County</t>
  </si>
  <si>
    <t>ANNUAL004082</t>
  </si>
  <si>
    <t>Lawrence County</t>
  </si>
  <si>
    <t>ANNUAL004083</t>
  </si>
  <si>
    <t>Lee County</t>
  </si>
  <si>
    <t>ANNUAL004084</t>
  </si>
  <si>
    <t>Leslie Co School District</t>
  </si>
  <si>
    <t>ANNUAL004085</t>
  </si>
  <si>
    <t>Letcher County</t>
  </si>
  <si>
    <t>ANNUAL004086</t>
  </si>
  <si>
    <t>Lewis County</t>
  </si>
  <si>
    <t>ANNUAL004087</t>
  </si>
  <si>
    <t>Lincoln Co School District</t>
  </si>
  <si>
    <t>ANNUAL004088</t>
  </si>
  <si>
    <t>Livingston Co School District</t>
  </si>
  <si>
    <t>ANNUAL004089</t>
  </si>
  <si>
    <t>Logan County Board of Education</t>
  </si>
  <si>
    <t>ANNUAL004090</t>
  </si>
  <si>
    <t>Ludlow Independent</t>
  </si>
  <si>
    <t>ANNUAL004091</t>
  </si>
  <si>
    <t>Lyon Co School District</t>
  </si>
  <si>
    <t>ANNUAL004092</t>
  </si>
  <si>
    <t>Madison Co School District</t>
  </si>
  <si>
    <t>ANNUAL004093</t>
  </si>
  <si>
    <t>Magoffin County</t>
  </si>
  <si>
    <t>ANNUAL004094</t>
  </si>
  <si>
    <t>Marion County</t>
  </si>
  <si>
    <t>ANNUAL004095</t>
  </si>
  <si>
    <t>Marshall Co School District</t>
  </si>
  <si>
    <t>ANNUAL004096</t>
  </si>
  <si>
    <t>Martin County Board of Education</t>
  </si>
  <si>
    <t>ANNUAL004097</t>
  </si>
  <si>
    <t>Mason Co School District</t>
  </si>
  <si>
    <t>ANNUAL004098</t>
  </si>
  <si>
    <t>Mayfield Independent</t>
  </si>
  <si>
    <t>ANNUAL004099</t>
  </si>
  <si>
    <t>Mccracken Co School District</t>
  </si>
  <si>
    <t>ANNUAL004100</t>
  </si>
  <si>
    <t>McCreary County</t>
  </si>
  <si>
    <t>ANNUAL004101</t>
  </si>
  <si>
    <t>McLean County Board of Education</t>
  </si>
  <si>
    <t>ANNUAL004102</t>
  </si>
  <si>
    <t>Meade County Board of Education</t>
  </si>
  <si>
    <t>ANNUAL004103</t>
  </si>
  <si>
    <t>Menifee County</t>
  </si>
  <si>
    <t>ANNUAL004104</t>
  </si>
  <si>
    <t>Mercer County</t>
  </si>
  <si>
    <t>ANNUAL004105</t>
  </si>
  <si>
    <t>Metcalfe County</t>
  </si>
  <si>
    <t>ANNUAL004107</t>
  </si>
  <si>
    <t>Middlesboro Independent</t>
  </si>
  <si>
    <t>ANNUAL004108</t>
  </si>
  <si>
    <t>Monroe Co School District</t>
  </si>
  <si>
    <t>ANNUAL004109</t>
  </si>
  <si>
    <t>Montgomery County</t>
  </si>
  <si>
    <t>ANNUAL004110</t>
  </si>
  <si>
    <t>Monticello Independent</t>
  </si>
  <si>
    <t>ANNUAL004112</t>
  </si>
  <si>
    <t>Morgan County Board of Education</t>
  </si>
  <si>
    <t>ANNUAL004113</t>
  </si>
  <si>
    <t>Muhlenberg County</t>
  </si>
  <si>
    <t>ANNUAL004114</t>
  </si>
  <si>
    <t>Murray Ind School District</t>
  </si>
  <si>
    <t>ANNUAL004115</t>
  </si>
  <si>
    <t>Nelson County</t>
  </si>
  <si>
    <t>ANNUAL004116</t>
  </si>
  <si>
    <t>Newport Ind School District</t>
  </si>
  <si>
    <t>ANNUAL004117</t>
  </si>
  <si>
    <t>Nicholas County</t>
  </si>
  <si>
    <t>ANNUAL004119</t>
  </si>
  <si>
    <t>Ohio County Board of Education</t>
  </si>
  <si>
    <t>ANNUAL004120</t>
  </si>
  <si>
    <t>Oldham Co School District</t>
  </si>
  <si>
    <t>ANNUAL004121</t>
  </si>
  <si>
    <t>Owen County</t>
  </si>
  <si>
    <t>ANNUAL004122</t>
  </si>
  <si>
    <t>Owensboro Independent</t>
  </si>
  <si>
    <t>ANNUAL004123</t>
  </si>
  <si>
    <t>Owsley County</t>
  </si>
  <si>
    <t>ANNUAL004124</t>
  </si>
  <si>
    <t>Paducah Independent</t>
  </si>
  <si>
    <t>ANNUAL004125</t>
  </si>
  <si>
    <t>Paintsville Independent</t>
  </si>
  <si>
    <t>ANNUAL004126</t>
  </si>
  <si>
    <t>Paris Independent</t>
  </si>
  <si>
    <t>ANNUAL004127</t>
  </si>
  <si>
    <t>Pendleton County</t>
  </si>
  <si>
    <t>ANNUAL004128</t>
  </si>
  <si>
    <t>Perry County</t>
  </si>
  <si>
    <t>ANNUAL004130</t>
  </si>
  <si>
    <t>Pike County</t>
  </si>
  <si>
    <t>ANNUAL004131</t>
  </si>
  <si>
    <t>Pikeville Independent</t>
  </si>
  <si>
    <t>ANNUAL004132</t>
  </si>
  <si>
    <t>Pineville Independent</t>
  </si>
  <si>
    <t>ANNUAL004133</t>
  </si>
  <si>
    <t>Powell Co School District</t>
  </si>
  <si>
    <t>ANNUAL004134</t>
  </si>
  <si>
    <t>Pulaski Co School District</t>
  </si>
  <si>
    <t>ANNUAL004135</t>
  </si>
  <si>
    <t>Raceland-Worthington Ind</t>
  </si>
  <si>
    <t>ANNUAL004136</t>
  </si>
  <si>
    <t>Robertson County</t>
  </si>
  <si>
    <t>ANNUAL004137</t>
  </si>
  <si>
    <t>Rockcastle County</t>
  </si>
  <si>
    <t>ANNUAL004138</t>
  </si>
  <si>
    <t>Rowan County</t>
  </si>
  <si>
    <t>ANNUAL004139</t>
  </si>
  <si>
    <t>Russell County</t>
  </si>
  <si>
    <t>ANNUAL004140</t>
  </si>
  <si>
    <t>Russell Independent</t>
  </si>
  <si>
    <t>ANNUAL004141</t>
  </si>
  <si>
    <t>Russellville Independent Board of Ed</t>
  </si>
  <si>
    <t>ANNUAL004142</t>
  </si>
  <si>
    <t>Science Hill Independent</t>
  </si>
  <si>
    <t>ANNUAL004143</t>
  </si>
  <si>
    <t>Scott County</t>
  </si>
  <si>
    <t>ANNUAL004144</t>
  </si>
  <si>
    <t>Shelby Co Public School District</t>
  </si>
  <si>
    <t>ANNUAL004145</t>
  </si>
  <si>
    <t>Silver Grove Independent</t>
  </si>
  <si>
    <t>ANNUAL004146</t>
  </si>
  <si>
    <t>Simpson County</t>
  </si>
  <si>
    <t>ANNUAL004147</t>
  </si>
  <si>
    <t>Somerset Independent</t>
  </si>
  <si>
    <t>ANNUAL004148</t>
  </si>
  <si>
    <t>Southgate Independent</t>
  </si>
  <si>
    <t>ANNUAL004149</t>
  </si>
  <si>
    <t>Spencer Co Board of Education</t>
  </si>
  <si>
    <t>ANNUAL004150</t>
  </si>
  <si>
    <t>Taylor County</t>
  </si>
  <si>
    <t>ANNUAL004151</t>
  </si>
  <si>
    <t>Todd County</t>
  </si>
  <si>
    <t>ANNUAL004152</t>
  </si>
  <si>
    <t>Trigg Co School District</t>
  </si>
  <si>
    <t>ANNUAL004153</t>
  </si>
  <si>
    <t>Trimble County Board of Education</t>
  </si>
  <si>
    <t>ANNUAL004154</t>
  </si>
  <si>
    <t>Union County</t>
  </si>
  <si>
    <t>ANNUAL004155</t>
  </si>
  <si>
    <t>Walton Verona Ind School District</t>
  </si>
  <si>
    <t>ANNUAL004156</t>
  </si>
  <si>
    <t>Warren Co School District</t>
  </si>
  <si>
    <t>ANNUAL004157</t>
  </si>
  <si>
    <t>Washington County Board of Education</t>
  </si>
  <si>
    <t>ANNUAL004158</t>
  </si>
  <si>
    <t>Wayne County</t>
  </si>
  <si>
    <t>ANNUAL004159</t>
  </si>
  <si>
    <t>Webster County</t>
  </si>
  <si>
    <t>ANNUAL004160</t>
  </si>
  <si>
    <t>West Point Ind</t>
  </si>
  <si>
    <t>ANNUAL004161</t>
  </si>
  <si>
    <t>Whitley County</t>
  </si>
  <si>
    <t>ANNUAL004162</t>
  </si>
  <si>
    <t>Williamsburg Ind</t>
  </si>
  <si>
    <t>ANNUAL004163</t>
  </si>
  <si>
    <t>Williamstown Ind</t>
  </si>
  <si>
    <t>ANNUAL004164</t>
  </si>
  <si>
    <t>Wolfe Co School District</t>
  </si>
  <si>
    <t>ANNUAL004254</t>
  </si>
  <si>
    <t>Woodford County</t>
  </si>
  <si>
    <t>Licenses total according to Terry is $540,513 for next year.</t>
  </si>
  <si>
    <t>Terry shows this is $919,316 for next year.</t>
  </si>
  <si>
    <t>Student Instructional Device (needed to attain 1:1)</t>
  </si>
  <si>
    <t>Student Instructional Device (3:1)</t>
  </si>
  <si>
    <t xml:space="preserve">Amount Paid </t>
  </si>
  <si>
    <t xml:space="preserve">ANNUAL005275 </t>
  </si>
  <si>
    <t xml:space="preserve">ANNUAL005276 </t>
  </si>
  <si>
    <t xml:space="preserve">ANNUAL005277 </t>
  </si>
  <si>
    <t xml:space="preserve">ANNUAL005278 </t>
  </si>
  <si>
    <t xml:space="preserve">ANNUAL005279 </t>
  </si>
  <si>
    <t xml:space="preserve">ANNUAL005280 </t>
  </si>
  <si>
    <t xml:space="preserve">ANNUAL005281 </t>
  </si>
  <si>
    <t xml:space="preserve">ANNUAL005282 </t>
  </si>
  <si>
    <t xml:space="preserve">ANNUAL005283 </t>
  </si>
  <si>
    <t xml:space="preserve">ANNUAL005284 </t>
  </si>
  <si>
    <t xml:space="preserve">ANNUAL005285 </t>
  </si>
  <si>
    <t xml:space="preserve">ANNUAL005286 </t>
  </si>
  <si>
    <t xml:space="preserve">ANNUAL005287 </t>
  </si>
  <si>
    <t xml:space="preserve">ANNUAL005288 </t>
  </si>
  <si>
    <t xml:space="preserve">ANNUAL005289 </t>
  </si>
  <si>
    <t xml:space="preserve">ANNUAL005290 </t>
  </si>
  <si>
    <t>Boone County Board of Education</t>
  </si>
  <si>
    <t xml:space="preserve">ANNUAL005291 </t>
  </si>
  <si>
    <t>Bourbon County School District</t>
  </si>
  <si>
    <t xml:space="preserve">ANNUAL005293 </t>
  </si>
  <si>
    <t xml:space="preserve">ANNUAL005294 </t>
  </si>
  <si>
    <t xml:space="preserve">ANNUAL005295 </t>
  </si>
  <si>
    <t xml:space="preserve">ANNUAL005296 </t>
  </si>
  <si>
    <t xml:space="preserve">ANNUAL005297 </t>
  </si>
  <si>
    <t xml:space="preserve">ANNUAL005298 </t>
  </si>
  <si>
    <t xml:space="preserve">ANNUAL005299 </t>
  </si>
  <si>
    <t xml:space="preserve">ANNUAL005300 </t>
  </si>
  <si>
    <t xml:space="preserve">ANNUAL005301 </t>
  </si>
  <si>
    <t xml:space="preserve">ANNUAL005302 </t>
  </si>
  <si>
    <t xml:space="preserve">ANNUAL005303 </t>
  </si>
  <si>
    <t xml:space="preserve">ANNUAL005304 </t>
  </si>
  <si>
    <t xml:space="preserve">ANNUAL005305 </t>
  </si>
  <si>
    <t xml:space="preserve">ANNUAL005306 </t>
  </si>
  <si>
    <t xml:space="preserve">ANNUAL005307 </t>
  </si>
  <si>
    <t xml:space="preserve">ANNUAL005308 </t>
  </si>
  <si>
    <t xml:space="preserve">ANNUAL005309 </t>
  </si>
  <si>
    <t xml:space="preserve">ANNUAL005310 </t>
  </si>
  <si>
    <t xml:space="preserve">ANNUAL005311 </t>
  </si>
  <si>
    <t xml:space="preserve">ANNUAL005312 </t>
  </si>
  <si>
    <t>Clark County Baord of Education</t>
  </si>
  <si>
    <t xml:space="preserve">ANNUAL005313 </t>
  </si>
  <si>
    <t xml:space="preserve">ANNUAL005314 </t>
  </si>
  <si>
    <t xml:space="preserve">ANNUAL005315 </t>
  </si>
  <si>
    <t xml:space="preserve">ANNUAL005316 </t>
  </si>
  <si>
    <t xml:space="preserve">ANNUAL005317 </t>
  </si>
  <si>
    <t>Covington Indepenent Board of Education</t>
  </si>
  <si>
    <t xml:space="preserve">ANNUAL005318 </t>
  </si>
  <si>
    <t xml:space="preserve">ANNUAL005319 </t>
  </si>
  <si>
    <t xml:space="preserve">ANNUAL005320 </t>
  </si>
  <si>
    <t xml:space="preserve">ANNUAL005321 </t>
  </si>
  <si>
    <t xml:space="preserve">ANNUAL005322 </t>
  </si>
  <si>
    <t xml:space="preserve">ANNUAL005323 </t>
  </si>
  <si>
    <t xml:space="preserve">ANNUAL005324 </t>
  </si>
  <si>
    <t xml:space="preserve">ANNUAL005325 </t>
  </si>
  <si>
    <t xml:space="preserve">ANNUAL005326 </t>
  </si>
  <si>
    <t xml:space="preserve">ANNUAL005328 </t>
  </si>
  <si>
    <t xml:space="preserve">ANNUAL005329 </t>
  </si>
  <si>
    <t xml:space="preserve">ANNUAL005331 </t>
  </si>
  <si>
    <t xml:space="preserve">ANNUAL005332 </t>
  </si>
  <si>
    <t xml:space="preserve">ANNUAL005333 </t>
  </si>
  <si>
    <t xml:space="preserve">ANNUAL005334 </t>
  </si>
  <si>
    <t xml:space="preserve">ANNUAL005335 </t>
  </si>
  <si>
    <t xml:space="preserve">ANNUAL005336 </t>
  </si>
  <si>
    <t xml:space="preserve">ANNUAL005338 </t>
  </si>
  <si>
    <t xml:space="preserve">ANNUAL005339 </t>
  </si>
  <si>
    <t xml:space="preserve">ANNUAL005337 </t>
  </si>
  <si>
    <t xml:space="preserve">ANNUAL005341 </t>
  </si>
  <si>
    <t xml:space="preserve">ANNUAL005340 </t>
  </si>
  <si>
    <t xml:space="preserve">ANNUAL005342 </t>
  </si>
  <si>
    <t xml:space="preserve">ANNUAL005343 </t>
  </si>
  <si>
    <t xml:space="preserve">ANNUAL005344 </t>
  </si>
  <si>
    <t xml:space="preserve">ANNUAL005345 </t>
  </si>
  <si>
    <t xml:space="preserve">ANNUAL005346 </t>
  </si>
  <si>
    <t xml:space="preserve">ANNUAL005347 </t>
  </si>
  <si>
    <t xml:space="preserve">ANNUAL005348 </t>
  </si>
  <si>
    <t xml:space="preserve">ANNUAL005349 </t>
  </si>
  <si>
    <t>Greenup County Board of Education</t>
  </si>
  <si>
    <t xml:space="preserve">ANNUAL005350 </t>
  </si>
  <si>
    <t xml:space="preserve">ANNUAL005351 </t>
  </si>
  <si>
    <t xml:space="preserve">ANNUAL005352 </t>
  </si>
  <si>
    <t xml:space="preserve">ANNUAL005353 </t>
  </si>
  <si>
    <t xml:space="preserve">ANNUAL005354 </t>
  </si>
  <si>
    <t xml:space="preserve">ANNUAL005355 </t>
  </si>
  <si>
    <t xml:space="preserve">ANNUAL005356 </t>
  </si>
  <si>
    <t xml:space="preserve">ANNUAL005357 </t>
  </si>
  <si>
    <t xml:space="preserve">ANNUAL005358 </t>
  </si>
  <si>
    <t xml:space="preserve">ANNUAL005359 </t>
  </si>
  <si>
    <t xml:space="preserve">ANNUAL005360 </t>
  </si>
  <si>
    <t xml:space="preserve">ANNUAL005361 </t>
  </si>
  <si>
    <t xml:space="preserve">ANNUAL005362 </t>
  </si>
  <si>
    <t xml:space="preserve">ANNUAL005363 </t>
  </si>
  <si>
    <t>Jefferson County Public Schools</t>
  </si>
  <si>
    <t xml:space="preserve">ANNUAL005365 </t>
  </si>
  <si>
    <t xml:space="preserve">ANNUAL005366 </t>
  </si>
  <si>
    <t xml:space="preserve">ANNUAL005367 </t>
  </si>
  <si>
    <t xml:space="preserve">ANNUAL005368 </t>
  </si>
  <si>
    <t xml:space="preserve">ANNUAL005369 </t>
  </si>
  <si>
    <t xml:space="preserve">ANNUAL005370 </t>
  </si>
  <si>
    <t xml:space="preserve">ANNUAL005372 </t>
  </si>
  <si>
    <t xml:space="preserve">ANNUAL005373 </t>
  </si>
  <si>
    <t xml:space="preserve">ANNUAL005374 </t>
  </si>
  <si>
    <t xml:space="preserve">ANNUAL005375 </t>
  </si>
  <si>
    <t xml:space="preserve">ANNUAL005376 </t>
  </si>
  <si>
    <t xml:space="preserve">ANNUAL005377 </t>
  </si>
  <si>
    <t xml:space="preserve">ANNUAL005378 </t>
  </si>
  <si>
    <t xml:space="preserve">ANNUAL005379 </t>
  </si>
  <si>
    <t xml:space="preserve">ANNUAL005380 </t>
  </si>
  <si>
    <t xml:space="preserve">ANNUAL005381 </t>
  </si>
  <si>
    <t xml:space="preserve">ANNUAL005382 </t>
  </si>
  <si>
    <t xml:space="preserve">ANNUAL005383 </t>
  </si>
  <si>
    <t xml:space="preserve">ANNUAL005384 </t>
  </si>
  <si>
    <t>Lyon County Board of Education</t>
  </si>
  <si>
    <t xml:space="preserve">ANNUAL005386 </t>
  </si>
  <si>
    <t xml:space="preserve">ANNUAL005388 </t>
  </si>
  <si>
    <t xml:space="preserve">ANNUAL005389 </t>
  </si>
  <si>
    <t xml:space="preserve">ANNUAL005390 </t>
  </si>
  <si>
    <t xml:space="preserve">ANNUAL005391 </t>
  </si>
  <si>
    <t xml:space="preserve">ANNUAL005392 </t>
  </si>
  <si>
    <t xml:space="preserve">ANNUAL005393 </t>
  </si>
  <si>
    <t xml:space="preserve">ANNUAL005394 </t>
  </si>
  <si>
    <t xml:space="preserve">ANNUAL005395 </t>
  </si>
  <si>
    <t xml:space="preserve">ANNUAL005396 </t>
  </si>
  <si>
    <t xml:space="preserve">ANNUAL005397 </t>
  </si>
  <si>
    <t xml:space="preserve">ANNUAL005398 </t>
  </si>
  <si>
    <t xml:space="preserve">ANNUAL005399 </t>
  </si>
  <si>
    <t xml:space="preserve">ANNUAL005400 </t>
  </si>
  <si>
    <t>Metcalfe County Schools</t>
  </si>
  <si>
    <t xml:space="preserve">ANNUAL005401 </t>
  </si>
  <si>
    <t xml:space="preserve">ANNUAL005402 </t>
  </si>
  <si>
    <t xml:space="preserve">ANNUAL005403 </t>
  </si>
  <si>
    <t>Montgomery County Board of Education</t>
  </si>
  <si>
    <t xml:space="preserve">ANNUAL005404 </t>
  </si>
  <si>
    <t xml:space="preserve">ANNUAL005405 </t>
  </si>
  <si>
    <t xml:space="preserve">ANNUAL005406 </t>
  </si>
  <si>
    <t xml:space="preserve">ANNUAL005409 </t>
  </si>
  <si>
    <t xml:space="preserve">ANNUAL005410 </t>
  </si>
  <si>
    <t xml:space="preserve">ANNUAL005411 </t>
  </si>
  <si>
    <t xml:space="preserve">ANNUAL005412 </t>
  </si>
  <si>
    <t xml:space="preserve">ANNUAL005414 </t>
  </si>
  <si>
    <t xml:space="preserve">ANNUAL005415 </t>
  </si>
  <si>
    <t xml:space="preserve">ANNUAL005416 </t>
  </si>
  <si>
    <t xml:space="preserve">ANNUAL005417 </t>
  </si>
  <si>
    <t xml:space="preserve">ANNUAL005419 </t>
  </si>
  <si>
    <t xml:space="preserve">ANNUAL005420 </t>
  </si>
  <si>
    <t xml:space="preserve">ANNUAL005422 </t>
  </si>
  <si>
    <t xml:space="preserve">ANNUAL005423 </t>
  </si>
  <si>
    <t xml:space="preserve">ANNUAL005424 </t>
  </si>
  <si>
    <t xml:space="preserve">ANNUAL005425 </t>
  </si>
  <si>
    <t xml:space="preserve">ANNUAL005426 </t>
  </si>
  <si>
    <t xml:space="preserve">ANNUAL005427 </t>
  </si>
  <si>
    <t xml:space="preserve">ANNUAL005428 </t>
  </si>
  <si>
    <t xml:space="preserve">ANNUAL005429 </t>
  </si>
  <si>
    <t xml:space="preserve">ANNUAL005430 </t>
  </si>
  <si>
    <t xml:space="preserve">ANNUAL005431 </t>
  </si>
  <si>
    <t xml:space="preserve">ANNUAL005432 </t>
  </si>
  <si>
    <t xml:space="preserve">ANNUAL005433 </t>
  </si>
  <si>
    <t xml:space="preserve">ANNUAL005435 </t>
  </si>
  <si>
    <t xml:space="preserve">ANNUAL005437 </t>
  </si>
  <si>
    <t xml:space="preserve">ANNUAL005438 </t>
  </si>
  <si>
    <t xml:space="preserve">ANNUAL005439 </t>
  </si>
  <si>
    <t xml:space="preserve">ANNUAL005440 </t>
  </si>
  <si>
    <t xml:space="preserve">ANNUAL005441 </t>
  </si>
  <si>
    <t xml:space="preserve">ANNUAL005442 </t>
  </si>
  <si>
    <t xml:space="preserve">ANNUAL005443 </t>
  </si>
  <si>
    <t xml:space="preserve">ANNUAL005444 </t>
  </si>
  <si>
    <t xml:space="preserve">ANNUAL005445 </t>
  </si>
  <si>
    <t xml:space="preserve">ANNUAL005446 </t>
  </si>
  <si>
    <t xml:space="preserve">ANNUAL005447 </t>
  </si>
  <si>
    <t xml:space="preserve">ANNUAL005448 </t>
  </si>
  <si>
    <t xml:space="preserve">ANNUAL005449 </t>
  </si>
  <si>
    <t xml:space="preserve">ANNUAL005450 </t>
  </si>
  <si>
    <t xml:space="preserve">ANNUAL005451 </t>
  </si>
  <si>
    <t xml:space="preserve">ANNUAL005452 </t>
  </si>
  <si>
    <t xml:space="preserve">ANNUAL005453 </t>
  </si>
  <si>
    <t xml:space="preserve">ANNUAL005454 </t>
  </si>
  <si>
    <t xml:space="preserve">ANNUAL005456 </t>
  </si>
  <si>
    <t xml:space="preserve">ANNUAL005457 </t>
  </si>
  <si>
    <t xml:space="preserve">ANNUAL005458 </t>
  </si>
  <si>
    <t xml:space="preserve">ANNUAL005459 </t>
  </si>
  <si>
    <t xml:space="preserve">ANNUAL005460 </t>
  </si>
  <si>
    <t xml:space="preserve">ANNUAL005461 </t>
  </si>
  <si>
    <t xml:space="preserve">ANNUAL005462 </t>
  </si>
  <si>
    <t xml:space="preserve">ANNUAL005463 </t>
  </si>
  <si>
    <t xml:space="preserve">ANNUAL005464 </t>
  </si>
  <si>
    <t>Network Wiring Runs (Data, Voice &amp; Video)</t>
  </si>
  <si>
    <t>KETS Instructional Device Pricing (includes device &amp; standard 3 year warranty)</t>
  </si>
  <si>
    <t>Pricing does not include installation charge</t>
  </si>
  <si>
    <t>Pricing does not include monitors for stationary devices</t>
  </si>
  <si>
    <t>Lenovo</t>
  </si>
  <si>
    <t>Avg . $ Intel</t>
  </si>
  <si>
    <t>Student Stationary</t>
  </si>
  <si>
    <t>Avg. $ Apple</t>
  </si>
  <si>
    <t>Teacher Stationary</t>
  </si>
  <si>
    <t>Overall Avg. $</t>
  </si>
  <si>
    <t>Student Portable</t>
  </si>
  <si>
    <t>Teacher Portable</t>
  </si>
  <si>
    <t>Average</t>
  </si>
  <si>
    <t>Student Device Avg.        (75% desktop; 25% laptop)</t>
  </si>
  <si>
    <t>Teacher Device Avg.       (25% desktop; 75% laptop)</t>
  </si>
  <si>
    <t>Teacher Device Avg.       (50% desktop; 50% laptop)</t>
  </si>
  <si>
    <t>KETS Instructional Device  -  Warranty Price Only Years 4-5</t>
  </si>
  <si>
    <t>KETS Laser Printer - Level 1 Monochrome w/1 year standard depot warranty</t>
  </si>
  <si>
    <t>Lexmark (Dell)</t>
  </si>
  <si>
    <t>HP (Sarcom)</t>
  </si>
  <si>
    <t>KETS Laser Printer - Level 1 Monochrome 2nd year warranty cost</t>
  </si>
  <si>
    <t>KETS Laser Printer - Level 2 Color w/1 year standard depot warranty</t>
  </si>
  <si>
    <t>KETS Laser Printer - Level 2 Color 2nd year warranty cost</t>
  </si>
  <si>
    <t>Not Offered</t>
  </si>
  <si>
    <t>KETS Server Pricing (includes server &amp; standard 3 year warranty)</t>
  </si>
  <si>
    <t>Rackmount</t>
  </si>
  <si>
    <t>Tower</t>
  </si>
  <si>
    <t>KETS Server  -  Warranty Price Only Years 4-5</t>
  </si>
  <si>
    <t>Avg. Rackmount $</t>
  </si>
  <si>
    <t>Student Only</t>
  </si>
  <si>
    <t>Teacher Only</t>
  </si>
  <si>
    <t>Student Average</t>
  </si>
  <si>
    <t>Teacher Average</t>
  </si>
  <si>
    <t>Annual Replacement Cost</t>
  </si>
  <si>
    <t>(Operating System, Productivity Suite)</t>
  </si>
  <si>
    <t>Infinite Campus (Annual IC payments)</t>
  </si>
  <si>
    <t>MUNIS (Annual MUNIS payments)</t>
  </si>
  <si>
    <t>(File Storage, Cafeteria, Library Mngt. , etc.)</t>
  </si>
  <si>
    <t>Server and Storage Capacity (enhanced capacity)</t>
  </si>
  <si>
    <t>Desktop Software Updates/Replacements (enhanced quantities)</t>
  </si>
  <si>
    <t>Fileserver Operating System Updates/Replacement (enhanced quantities)</t>
  </si>
  <si>
    <t>School WAN Internet Connection</t>
  </si>
  <si>
    <t>Based on average prices</t>
  </si>
  <si>
    <t>District to School WAN Internet Connection</t>
  </si>
  <si>
    <t>Based on average price</t>
  </si>
  <si>
    <t>Total Annual Maintenance</t>
  </si>
  <si>
    <t>Total Annual Replacement Cost</t>
  </si>
  <si>
    <t>Technology Refresh</t>
  </si>
  <si>
    <t>S/L, L or PF</t>
  </si>
  <si>
    <t>S/L, F or L</t>
  </si>
  <si>
    <t>KET Encyclomedia</t>
  </si>
  <si>
    <t>Student Information System (SIS - State Edition Only)</t>
  </si>
  <si>
    <t>Continuous Instructional Improvement Technology System (CIITS)</t>
  </si>
  <si>
    <t>Help Desk Lic/Support</t>
  </si>
  <si>
    <t>Kentucky Education Network (KEN)</t>
  </si>
  <si>
    <t>Online Assessment</t>
  </si>
  <si>
    <t>Child Nutrition Information Payment System (CNIPS)</t>
  </si>
  <si>
    <t>Common Core 360 / PD 360</t>
  </si>
  <si>
    <t>Total Cost w/o USF Discounts</t>
  </si>
  <si>
    <t>Total Cost with USF Discounts for 3 Years</t>
  </si>
  <si>
    <t>Microsoft SA (includes AD Server &amp; Proxy)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</si>
</sst>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quot;$&quot;#,##0.0_);[Red]\(&quot;$&quot;#,##0.0\)"/>
    <numFmt numFmtId="174" formatCode="&quot;$&quot;#,##0"/>
    <numFmt numFmtId="175" formatCode="&quot;$&quot;#,##0.0"/>
    <numFmt numFmtId="176" formatCode="&quot;$&quot;#,##0.0000_);[Red]\(&quot;$&quot;#,##0.0000\)"/>
    <numFmt numFmtId="177" formatCode="&quot;$&quot;#,##0.00"/>
    <numFmt numFmtId="178" formatCode="0.0"/>
    <numFmt numFmtId="179" formatCode="&quot;$&quot;#,##0.000_);[Red]\(&quot;$&quot;#,##0.000\)"/>
    <numFmt numFmtId="180" formatCode="_(&quot;$&quot;* #,##0_);_(&quot;$&quot;* \(#,##0\);_(&quot;$&quot;* &quot;-&quot;??_);_(@_)"/>
    <numFmt numFmtId="181" formatCode="&quot;$&quot;#,##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152">
    <font>
      <sz val="10"/>
      <name val="MS Sans Serif"/>
      <family val="0"/>
    </font>
    <font>
      <b/>
      <sz val="10"/>
      <name val="MS Sans Serif"/>
      <family val="0"/>
    </font>
    <font>
      <i/>
      <sz val="10"/>
      <name val="MS Sans Serif"/>
      <family val="0"/>
    </font>
    <font>
      <b/>
      <i/>
      <sz val="10"/>
      <name val="MS Sans Serif"/>
      <family val="0"/>
    </font>
    <font>
      <sz val="10"/>
      <name val="Palatino"/>
      <family val="1"/>
    </font>
    <font>
      <b/>
      <sz val="10"/>
      <name val="MS Serif"/>
      <family val="1"/>
    </font>
    <font>
      <sz val="10"/>
      <name val="MS Serif"/>
      <family val="1"/>
    </font>
    <font>
      <b/>
      <sz val="10"/>
      <name val="Palatino"/>
      <family val="1"/>
    </font>
    <font>
      <b/>
      <sz val="18"/>
      <name val="MS Serif"/>
      <family val="1"/>
    </font>
    <font>
      <sz val="16"/>
      <name val="MS Serif"/>
      <family val="1"/>
    </font>
    <font>
      <b/>
      <sz val="18"/>
      <name val="Palatino"/>
      <family val="1"/>
    </font>
    <font>
      <b/>
      <sz val="16"/>
      <name val="Palatino"/>
      <family val="1"/>
    </font>
    <font>
      <sz val="16"/>
      <name val="Palatino"/>
      <family val="1"/>
    </font>
    <font>
      <sz val="12"/>
      <name val="Tms Rmn"/>
      <family val="1"/>
    </font>
    <font>
      <b/>
      <sz val="12"/>
      <name val="Tms Rmn"/>
      <family val="1"/>
    </font>
    <font>
      <b/>
      <sz val="12"/>
      <name val="Times New Roman"/>
      <family val="1"/>
    </font>
    <font>
      <sz val="12"/>
      <name val="Times New Roman"/>
      <family val="1"/>
    </font>
    <font>
      <b/>
      <sz val="20"/>
      <name val="Tms Rmn"/>
      <family val="0"/>
    </font>
    <font>
      <b/>
      <sz val="16"/>
      <name val="Tms Rmn"/>
      <family val="0"/>
    </font>
    <font>
      <sz val="8"/>
      <name val="Tahoma"/>
      <family val="2"/>
    </font>
    <font>
      <sz val="10"/>
      <color indexed="18"/>
      <name val="Palatino"/>
      <family val="1"/>
    </font>
    <font>
      <sz val="12"/>
      <color indexed="8"/>
      <name val="Tms Rmn"/>
      <family val="0"/>
    </font>
    <font>
      <sz val="18"/>
      <name val="Tms Rmn"/>
      <family val="1"/>
    </font>
    <font>
      <b/>
      <sz val="18"/>
      <name val="Tms Rmn"/>
      <family val="1"/>
    </font>
    <font>
      <b/>
      <sz val="18"/>
      <name val="Times New Roman"/>
      <family val="1"/>
    </font>
    <font>
      <b/>
      <sz val="14"/>
      <name val="Tms Rmn"/>
      <family val="0"/>
    </font>
    <font>
      <sz val="18"/>
      <name val="Times New Roman"/>
      <family val="1"/>
    </font>
    <font>
      <b/>
      <sz val="10"/>
      <name val="Tms Rmn"/>
      <family val="1"/>
    </font>
    <font>
      <sz val="18"/>
      <color indexed="10"/>
      <name val="Tms Rmn"/>
      <family val="0"/>
    </font>
    <font>
      <b/>
      <u val="single"/>
      <sz val="12"/>
      <color indexed="10"/>
      <name val="Tms Rmn"/>
      <family val="0"/>
    </font>
    <font>
      <b/>
      <sz val="14"/>
      <color indexed="18"/>
      <name val="Tms Rmn"/>
      <family val="0"/>
    </font>
    <font>
      <sz val="10"/>
      <name val="Arial"/>
      <family val="2"/>
    </font>
    <font>
      <b/>
      <sz val="10"/>
      <name val="Arial"/>
      <family val="2"/>
    </font>
    <font>
      <b/>
      <i/>
      <sz val="12"/>
      <color indexed="18"/>
      <name val="Tms Rmn"/>
      <family val="0"/>
    </font>
    <font>
      <b/>
      <i/>
      <sz val="12"/>
      <name val="Tms Rmn"/>
      <family val="0"/>
    </font>
    <font>
      <b/>
      <i/>
      <sz val="12"/>
      <color indexed="62"/>
      <name val="Tms Rmn"/>
      <family val="0"/>
    </font>
    <font>
      <b/>
      <sz val="9"/>
      <name val="Tms Rmn"/>
      <family val="0"/>
    </font>
    <font>
      <b/>
      <sz val="11"/>
      <name val="Tms Rmn"/>
      <family val="0"/>
    </font>
    <font>
      <sz val="11"/>
      <name val="Tms Rmn"/>
      <family val="0"/>
    </font>
    <font>
      <b/>
      <sz val="13.5"/>
      <name val="MS Sans Serif"/>
      <family val="2"/>
    </font>
    <font>
      <b/>
      <sz val="14"/>
      <name val="Arial"/>
      <family val="2"/>
    </font>
    <font>
      <b/>
      <sz val="12"/>
      <name val="Arial"/>
      <family val="2"/>
    </font>
    <font>
      <b/>
      <sz val="10"/>
      <color indexed="17"/>
      <name val="Arial"/>
      <family val="2"/>
    </font>
    <font>
      <b/>
      <sz val="10"/>
      <color indexed="10"/>
      <name val="Arial"/>
      <family val="2"/>
    </font>
    <font>
      <sz val="10"/>
      <color indexed="10"/>
      <name val="Arial"/>
      <family val="2"/>
    </font>
    <font>
      <sz val="9"/>
      <name val="Tms Rmn"/>
      <family val="1"/>
    </font>
    <font>
      <sz val="9"/>
      <name val="Times New Roman"/>
      <family val="1"/>
    </font>
    <font>
      <b/>
      <sz val="12"/>
      <color indexed="8"/>
      <name val="Tms Rmn"/>
      <family val="0"/>
    </font>
    <font>
      <b/>
      <sz val="8"/>
      <name val="Tms Rmn"/>
      <family val="0"/>
    </font>
    <font>
      <sz val="12"/>
      <color indexed="18"/>
      <name val="Tms Rmn"/>
      <family val="0"/>
    </font>
    <font>
      <sz val="12"/>
      <color indexed="62"/>
      <name val="Tms Rmn"/>
      <family val="0"/>
    </font>
    <font>
      <sz val="11"/>
      <color indexed="18"/>
      <name val="Tms Rmn"/>
      <family val="0"/>
    </font>
    <font>
      <sz val="8"/>
      <color indexed="18"/>
      <name val="Tms Rmn"/>
      <family val="0"/>
    </font>
    <font>
      <b/>
      <sz val="14"/>
      <color indexed="8"/>
      <name val="Tms Rmn"/>
      <family val="0"/>
    </font>
    <font>
      <b/>
      <u val="single"/>
      <sz val="16"/>
      <color indexed="10"/>
      <name val="Tms Rmn"/>
      <family val="0"/>
    </font>
    <font>
      <b/>
      <sz val="12"/>
      <color indexed="18"/>
      <name val="Tms Rmn"/>
      <family val="0"/>
    </font>
    <font>
      <sz val="9"/>
      <color indexed="8"/>
      <name val="Tms Rmn"/>
      <family val="0"/>
    </font>
    <font>
      <b/>
      <u val="single"/>
      <sz val="14"/>
      <color indexed="10"/>
      <name val="Tms Rmn"/>
      <family val="0"/>
    </font>
    <font>
      <u val="single"/>
      <sz val="10"/>
      <name val="MS Serif"/>
      <family val="1"/>
    </font>
    <font>
      <b/>
      <u val="single"/>
      <sz val="10"/>
      <name val="MS Serif"/>
      <family val="1"/>
    </font>
    <font>
      <b/>
      <u val="single"/>
      <sz val="10"/>
      <name val="MS Sans Serif"/>
      <family val="2"/>
    </font>
    <font>
      <sz val="10"/>
      <color indexed="8"/>
      <name val="MS Sans Serif"/>
      <family val="2"/>
    </font>
    <font>
      <sz val="10"/>
      <color indexed="8"/>
      <name val="MS Serif"/>
      <family val="1"/>
    </font>
    <font>
      <b/>
      <sz val="8.5"/>
      <name val="MS Serif"/>
      <family val="1"/>
    </font>
    <font>
      <sz val="8.5"/>
      <name val="MS Serif"/>
      <family val="1"/>
    </font>
    <font>
      <sz val="8.5"/>
      <color indexed="18"/>
      <name val="MS Serif"/>
      <family val="1"/>
    </font>
    <font>
      <sz val="8.5"/>
      <color indexed="18"/>
      <name val="Palatino"/>
      <family val="1"/>
    </font>
    <font>
      <b/>
      <sz val="11"/>
      <name val="Times New Roman"/>
      <family val="1"/>
    </font>
    <font>
      <sz val="9"/>
      <color indexed="18"/>
      <name val="Tms Rmn"/>
      <family val="0"/>
    </font>
    <font>
      <sz val="8"/>
      <name val="MS Sans Serif"/>
      <family val="2"/>
    </font>
    <font>
      <u val="single"/>
      <sz val="9"/>
      <color indexed="12"/>
      <name val="MS Sans Serif"/>
      <family val="2"/>
    </font>
    <font>
      <u val="single"/>
      <sz val="9"/>
      <color indexed="36"/>
      <name val="MS Sans Serif"/>
      <family val="2"/>
    </font>
    <font>
      <b/>
      <sz val="20"/>
      <name val="Arial"/>
      <family val="2"/>
    </font>
    <font>
      <sz val="12"/>
      <name val="Arial"/>
      <family val="2"/>
    </font>
    <font>
      <sz val="9"/>
      <name val="Arial"/>
      <family val="2"/>
    </font>
    <font>
      <sz val="12"/>
      <color indexed="8"/>
      <name val="Arial"/>
      <family val="2"/>
    </font>
    <font>
      <b/>
      <sz val="16"/>
      <name val="Arial"/>
      <family val="2"/>
    </font>
    <font>
      <b/>
      <sz val="9"/>
      <name val="Arial"/>
      <family val="2"/>
    </font>
    <font>
      <b/>
      <sz val="8"/>
      <name val="Arial"/>
      <family val="2"/>
    </font>
    <font>
      <b/>
      <sz val="18"/>
      <name val="Arial"/>
      <family val="2"/>
    </font>
    <font>
      <b/>
      <sz val="11"/>
      <name val="Arial"/>
      <family val="2"/>
    </font>
    <font>
      <sz val="18"/>
      <name val="Arial"/>
      <family val="2"/>
    </font>
    <font>
      <u val="single"/>
      <sz val="10"/>
      <name val="Arial"/>
      <family val="2"/>
    </font>
    <font>
      <b/>
      <i/>
      <sz val="12"/>
      <name val="Arial"/>
      <family val="2"/>
    </font>
    <font>
      <sz val="11"/>
      <name val="Arial"/>
      <family val="2"/>
    </font>
    <font>
      <b/>
      <u val="single"/>
      <sz val="16"/>
      <name val="Arial"/>
      <family val="2"/>
    </font>
    <font>
      <b/>
      <u val="single"/>
      <sz val="12"/>
      <name val="Arial"/>
      <family val="2"/>
    </font>
    <font>
      <b/>
      <u val="single"/>
      <sz val="14"/>
      <name val="Arial"/>
      <family val="2"/>
    </font>
    <font>
      <sz val="12"/>
      <name val="MS Sans Serif"/>
      <family val="2"/>
    </font>
    <font>
      <sz val="12"/>
      <color indexed="12"/>
      <name val="Arial"/>
      <family val="2"/>
    </font>
    <font>
      <b/>
      <sz val="12"/>
      <color indexed="12"/>
      <name val="Arial"/>
      <family val="2"/>
    </font>
    <font>
      <b/>
      <i/>
      <sz val="10"/>
      <name val="Arial"/>
      <family val="2"/>
    </font>
    <font>
      <b/>
      <i/>
      <sz val="11"/>
      <name val="Arial"/>
      <family val="2"/>
    </font>
    <font>
      <b/>
      <sz val="8"/>
      <name val="Tahoma"/>
      <family val="2"/>
    </font>
    <font>
      <sz val="8"/>
      <name val="Arial"/>
      <family val="2"/>
    </font>
    <font>
      <i/>
      <sz val="9"/>
      <name val="Arial"/>
      <family val="2"/>
    </font>
    <font>
      <i/>
      <sz val="9"/>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62"/>
      <name val="Arial"/>
      <family val="2"/>
    </font>
    <font>
      <sz val="8"/>
      <color indexed="8"/>
      <name val="Arial"/>
      <family val="2"/>
    </font>
    <font>
      <b/>
      <sz val="8"/>
      <color indexed="8"/>
      <name val="Arial"/>
      <family val="2"/>
    </font>
    <font>
      <b/>
      <sz val="10"/>
      <color indexed="8"/>
      <name val="Arial"/>
      <family val="2"/>
    </font>
    <font>
      <sz val="10"/>
      <color indexed="10"/>
      <name val="Calibri"/>
      <family val="2"/>
    </font>
    <font>
      <b/>
      <sz val="12"/>
      <color indexed="10"/>
      <name val="Arial"/>
      <family val="2"/>
    </font>
    <font>
      <b/>
      <u val="single"/>
      <sz val="11"/>
      <color indexed="8"/>
      <name val="Calibri"/>
      <family val="2"/>
    </font>
    <font>
      <sz val="12"/>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4" tint="-0.24997000396251678"/>
      <name val="Arial"/>
      <family val="2"/>
    </font>
    <font>
      <sz val="10"/>
      <color rgb="FFFF0000"/>
      <name val="Arial"/>
      <family val="2"/>
    </font>
    <font>
      <sz val="8"/>
      <color rgb="FF000000"/>
      <name val="Arial"/>
      <family val="2"/>
    </font>
    <font>
      <b/>
      <sz val="8"/>
      <color rgb="FF000000"/>
      <name val="Arial"/>
      <family val="2"/>
    </font>
    <font>
      <sz val="11"/>
      <color rgb="FF000000"/>
      <name val="Calibri"/>
      <family val="2"/>
    </font>
    <font>
      <b/>
      <sz val="10"/>
      <color rgb="FF000000"/>
      <name val="Arial"/>
      <family val="2"/>
    </font>
    <font>
      <sz val="10"/>
      <color rgb="FFC00000"/>
      <name val="Calibri"/>
      <family val="2"/>
    </font>
    <font>
      <b/>
      <sz val="12"/>
      <color rgb="FFFF0000"/>
      <name val="Arial"/>
      <family val="2"/>
    </font>
    <font>
      <sz val="11"/>
      <color rgb="FF1F497D"/>
      <name val="Calibri"/>
      <family val="2"/>
    </font>
    <font>
      <b/>
      <u val="single"/>
      <sz val="11"/>
      <color theme="1"/>
      <name val="Calibri"/>
      <family val="2"/>
    </font>
    <font>
      <sz val="12"/>
      <color theme="0"/>
      <name val="Arial"/>
      <family val="2"/>
    </font>
    <font>
      <b/>
      <sz val="10"/>
      <color theme="0"/>
      <name val="Arial"/>
      <family val="2"/>
    </font>
    <font>
      <b/>
      <sz val="8"/>
      <name val="MS Sans Serif"/>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D9D9D9"/>
        <bgColor indexed="64"/>
      </patternFill>
    </fill>
    <fill>
      <patternFill patternType="solid">
        <fgColor rgb="FFDAEEF3"/>
        <bgColor indexed="64"/>
      </patternFill>
    </fill>
    <fill>
      <patternFill patternType="solid">
        <fgColor rgb="FFFDE9D9"/>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style="double"/>
      <bottom style="double"/>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right style="hair"/>
      <top/>
      <bottom/>
    </border>
    <border>
      <left style="hair"/>
      <right style="hair"/>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4" fillId="0" borderId="0">
      <alignment/>
      <protection/>
    </xf>
    <xf numFmtId="0" fontId="125" fillId="27" borderId="1" applyNumberFormat="0" applyAlignment="0" applyProtection="0"/>
    <xf numFmtId="0" fontId="12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7" fillId="0" borderId="0" applyNumberFormat="0" applyFill="0" applyBorder="0" applyAlignment="0" applyProtection="0"/>
    <xf numFmtId="0" fontId="71"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70" fillId="0" borderId="0" applyNumberFormat="0" applyFill="0" applyBorder="0" applyAlignment="0" applyProtection="0"/>
    <xf numFmtId="0" fontId="132" fillId="30" borderId="1" applyNumberFormat="0" applyAlignment="0" applyProtection="0"/>
    <xf numFmtId="0" fontId="133" fillId="0" borderId="6" applyNumberFormat="0" applyFill="0" applyAlignment="0" applyProtection="0"/>
    <xf numFmtId="0" fontId="134" fillId="31" borderId="0" applyNumberFormat="0" applyBorder="0" applyAlignment="0" applyProtection="0"/>
    <xf numFmtId="0" fontId="0" fillId="0" borderId="0">
      <alignment/>
      <protection/>
    </xf>
    <xf numFmtId="0" fontId="88" fillId="0" borderId="0">
      <alignment/>
      <protection/>
    </xf>
    <xf numFmtId="0" fontId="31" fillId="0" borderId="0">
      <alignment/>
      <protection/>
    </xf>
    <xf numFmtId="0" fontId="0" fillId="32" borderId="7" applyNumberFormat="0" applyFont="0" applyAlignment="0" applyProtection="0"/>
    <xf numFmtId="0" fontId="135" fillId="27" borderId="8"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9" applyNumberFormat="0" applyFill="0" applyAlignment="0" applyProtection="0"/>
    <xf numFmtId="0" fontId="138" fillId="0" borderId="0" applyNumberFormat="0" applyFill="0" applyBorder="0" applyAlignment="0" applyProtection="0"/>
  </cellStyleXfs>
  <cellXfs count="1376">
    <xf numFmtId="0" fontId="0" fillId="0" borderId="0" xfId="0" applyAlignment="1">
      <alignment/>
    </xf>
    <xf numFmtId="0" fontId="4" fillId="0" borderId="0" xfId="40">
      <alignment/>
      <protection/>
    </xf>
    <xf numFmtId="0" fontId="6" fillId="0" borderId="0" xfId="40" applyFont="1">
      <alignment/>
      <protection/>
    </xf>
    <xf numFmtId="3" fontId="6" fillId="0" borderId="0" xfId="43" applyNumberFormat="1" applyFont="1" applyAlignment="1">
      <alignment/>
    </xf>
    <xf numFmtId="6" fontId="6" fillId="0" borderId="0" xfId="45" applyNumberFormat="1" applyFont="1" applyAlignment="1">
      <alignment/>
    </xf>
    <xf numFmtId="0" fontId="6" fillId="0" borderId="0" xfId="0" applyFont="1" applyAlignment="1">
      <alignment/>
    </xf>
    <xf numFmtId="0" fontId="9" fillId="0" borderId="0" xfId="40" applyFont="1" applyBorder="1" applyAlignment="1">
      <alignment horizontal="center"/>
      <protection/>
    </xf>
    <xf numFmtId="0" fontId="6" fillId="0" borderId="0" xfId="40" applyFont="1" applyAlignment="1">
      <alignment horizontal="right"/>
      <protection/>
    </xf>
    <xf numFmtId="0" fontId="4" fillId="0" borderId="0" xfId="40" applyFont="1">
      <alignment/>
      <protection/>
    </xf>
    <xf numFmtId="6" fontId="6" fillId="0" borderId="0" xfId="0" applyNumberFormat="1" applyFont="1" applyAlignment="1">
      <alignment/>
    </xf>
    <xf numFmtId="6" fontId="5" fillId="0" borderId="0" xfId="45" applyNumberFormat="1" applyFont="1" applyAlignment="1">
      <alignment/>
    </xf>
    <xf numFmtId="0" fontId="7" fillId="0" borderId="0" xfId="40" applyFont="1" applyAlignment="1">
      <alignment horizontal="center"/>
      <protection/>
    </xf>
    <xf numFmtId="5" fontId="6" fillId="0" borderId="0" xfId="0" applyNumberFormat="1" applyFont="1" applyAlignment="1">
      <alignment/>
    </xf>
    <xf numFmtId="6" fontId="6" fillId="0" borderId="0" xfId="45" applyNumberFormat="1" applyFont="1" applyBorder="1" applyAlignment="1">
      <alignment/>
    </xf>
    <xf numFmtId="0" fontId="6" fillId="0" borderId="0" xfId="40" applyFont="1" applyAlignment="1">
      <alignment horizontal="left"/>
      <protection/>
    </xf>
    <xf numFmtId="0" fontId="9" fillId="0" borderId="0" xfId="40" applyFont="1" applyAlignment="1">
      <alignment horizontal="center"/>
      <protection/>
    </xf>
    <xf numFmtId="6" fontId="5" fillId="0" borderId="0" xfId="45" applyNumberFormat="1" applyFont="1" applyBorder="1" applyAlignment="1">
      <alignment/>
    </xf>
    <xf numFmtId="0" fontId="8" fillId="0" borderId="0" xfId="40" applyFont="1">
      <alignment/>
      <protection/>
    </xf>
    <xf numFmtId="0" fontId="10" fillId="0" borderId="0" xfId="40" applyFont="1">
      <alignment/>
      <protection/>
    </xf>
    <xf numFmtId="0" fontId="4" fillId="0" borderId="0" xfId="0" applyFont="1" applyAlignment="1">
      <alignment/>
    </xf>
    <xf numFmtId="0" fontId="6" fillId="0" borderId="0" xfId="0" applyFont="1" applyAlignment="1">
      <alignment/>
    </xf>
    <xf numFmtId="6" fontId="6" fillId="0" borderId="0" xfId="45" applyNumberFormat="1" applyFont="1" applyAlignment="1">
      <alignment/>
    </xf>
    <xf numFmtId="0" fontId="4" fillId="0" borderId="0" xfId="0" applyFont="1" applyAlignment="1">
      <alignment/>
    </xf>
    <xf numFmtId="8" fontId="6" fillId="0" borderId="0" xfId="45" applyFont="1" applyAlignment="1">
      <alignment/>
    </xf>
    <xf numFmtId="8" fontId="6" fillId="0" borderId="0" xfId="45" applyNumberFormat="1" applyFont="1" applyAlignment="1">
      <alignment/>
    </xf>
    <xf numFmtId="5" fontId="6" fillId="0" borderId="0" xfId="43" applyNumberFormat="1" applyFont="1" applyAlignment="1">
      <alignment horizontal="right"/>
    </xf>
    <xf numFmtId="38" fontId="6" fillId="0" borderId="0" xfId="43" applyNumberFormat="1" applyFont="1" applyAlignment="1">
      <alignment horizontal="center"/>
    </xf>
    <xf numFmtId="0" fontId="11" fillId="0" borderId="0" xfId="40" applyFont="1">
      <alignment/>
      <protection/>
    </xf>
    <xf numFmtId="38" fontId="4" fillId="0" borderId="0" xfId="43" applyNumberFormat="1" applyFont="1" applyAlignment="1">
      <alignment horizontal="center"/>
    </xf>
    <xf numFmtId="0" fontId="4" fillId="0" borderId="0" xfId="40" applyAlignment="1">
      <alignment horizontal="right"/>
      <protection/>
    </xf>
    <xf numFmtId="172" fontId="4" fillId="0" borderId="0" xfId="43" applyNumberFormat="1" applyFont="1" applyAlignment="1">
      <alignment horizontal="center"/>
    </xf>
    <xf numFmtId="9" fontId="4" fillId="0" borderId="0" xfId="63" applyFont="1" applyAlignment="1">
      <alignment horizontal="center"/>
    </xf>
    <xf numFmtId="0" fontId="12" fillId="0" borderId="0" xfId="40" applyFont="1" applyAlignment="1">
      <alignment horizontal="center"/>
      <protection/>
    </xf>
    <xf numFmtId="0" fontId="4" fillId="0" borderId="0" xfId="40" applyFont="1" applyAlignment="1">
      <alignment horizontal="right"/>
      <protection/>
    </xf>
    <xf numFmtId="0" fontId="12" fillId="0" borderId="0" xfId="40" applyFont="1" applyBorder="1" applyAlignment="1">
      <alignment horizontal="center"/>
      <protection/>
    </xf>
    <xf numFmtId="38" fontId="4" fillId="0" borderId="0" xfId="43" applyNumberFormat="1" applyFont="1" applyAlignment="1">
      <alignment/>
    </xf>
    <xf numFmtId="5" fontId="6" fillId="0" borderId="0" xfId="45" applyNumberFormat="1" applyFont="1" applyAlignment="1">
      <alignment/>
    </xf>
    <xf numFmtId="5" fontId="6" fillId="0" borderId="0" xfId="45" applyNumberFormat="1" applyFont="1" applyAlignment="1">
      <alignment/>
    </xf>
    <xf numFmtId="0" fontId="13" fillId="0" borderId="10" xfId="40" applyFont="1" applyBorder="1" applyAlignment="1">
      <alignment horizontal="right"/>
      <protection/>
    </xf>
    <xf numFmtId="0" fontId="14" fillId="0" borderId="10" xfId="40" applyFont="1" applyBorder="1" applyAlignment="1">
      <alignment horizontal="center" vertical="center" wrapText="1"/>
      <protection/>
    </xf>
    <xf numFmtId="3" fontId="14" fillId="0" borderId="10" xfId="43" applyNumberFormat="1" applyFont="1" applyBorder="1" applyAlignment="1">
      <alignment horizontal="center" vertical="center" wrapText="1"/>
    </xf>
    <xf numFmtId="6" fontId="14" fillId="0" borderId="10" xfId="45" applyNumberFormat="1" applyFont="1" applyBorder="1" applyAlignment="1">
      <alignment horizontal="center" vertical="center" wrapText="1"/>
    </xf>
    <xf numFmtId="3" fontId="13" fillId="0" borderId="0" xfId="43" applyNumberFormat="1" applyFont="1" applyAlignment="1">
      <alignment/>
    </xf>
    <xf numFmtId="6" fontId="13" fillId="0" borderId="0" xfId="45" applyNumberFormat="1" applyFont="1" applyAlignment="1">
      <alignment/>
    </xf>
    <xf numFmtId="0" fontId="13" fillId="0" borderId="0" xfId="40" applyFont="1" applyAlignment="1">
      <alignment horizontal="center"/>
      <protection/>
    </xf>
    <xf numFmtId="0" fontId="13" fillId="0" borderId="11" xfId="40" applyFont="1" applyBorder="1">
      <alignment/>
      <protection/>
    </xf>
    <xf numFmtId="3" fontId="13" fillId="0" borderId="11" xfId="43" applyNumberFormat="1" applyFont="1" applyBorder="1" applyAlignment="1">
      <alignment/>
    </xf>
    <xf numFmtId="6" fontId="13" fillId="0" borderId="11" xfId="45" applyNumberFormat="1" applyFont="1" applyBorder="1" applyAlignment="1">
      <alignment/>
    </xf>
    <xf numFmtId="0" fontId="13" fillId="0" borderId="11" xfId="40" applyFont="1" applyBorder="1" applyAlignment="1">
      <alignment horizontal="center"/>
      <protection/>
    </xf>
    <xf numFmtId="0" fontId="13" fillId="0" borderId="12" xfId="40" applyFont="1" applyBorder="1">
      <alignment/>
      <protection/>
    </xf>
    <xf numFmtId="3" fontId="13" fillId="0" borderId="12" xfId="43" applyNumberFormat="1" applyFont="1" applyBorder="1" applyAlignment="1">
      <alignment/>
    </xf>
    <xf numFmtId="6" fontId="13" fillId="0" borderId="12" xfId="45" applyNumberFormat="1" applyFont="1" applyBorder="1" applyAlignment="1">
      <alignment/>
    </xf>
    <xf numFmtId="0" fontId="13" fillId="0" borderId="12" xfId="40" applyFont="1" applyBorder="1" applyAlignment="1">
      <alignment horizontal="center"/>
      <protection/>
    </xf>
    <xf numFmtId="0" fontId="13" fillId="0" borderId="0" xfId="40" applyFont="1" applyAlignment="1">
      <alignment horizontal="right"/>
      <protection/>
    </xf>
    <xf numFmtId="6" fontId="13" fillId="0" borderId="0" xfId="40" applyNumberFormat="1" applyFont="1">
      <alignment/>
      <protection/>
    </xf>
    <xf numFmtId="3" fontId="13" fillId="0" borderId="0" xfId="0" applyNumberFormat="1" applyFont="1" applyAlignment="1">
      <alignment/>
    </xf>
    <xf numFmtId="0" fontId="14" fillId="0" borderId="0" xfId="40" applyFont="1" applyAlignment="1">
      <alignment horizontal="right"/>
      <protection/>
    </xf>
    <xf numFmtId="6" fontId="14" fillId="0" borderId="0" xfId="40" applyNumberFormat="1" applyFont="1">
      <alignment/>
      <protection/>
    </xf>
    <xf numFmtId="3" fontId="14" fillId="0" borderId="0" xfId="43" applyNumberFormat="1" applyFont="1" applyAlignment="1">
      <alignment/>
    </xf>
    <xf numFmtId="6" fontId="14" fillId="0" borderId="0" xfId="45" applyNumberFormat="1" applyFont="1" applyAlignment="1">
      <alignment/>
    </xf>
    <xf numFmtId="0" fontId="14" fillId="0" borderId="0" xfId="40" applyFont="1" applyAlignment="1">
      <alignment horizontal="center"/>
      <protection/>
    </xf>
    <xf numFmtId="0" fontId="13" fillId="0" borderId="0" xfId="0" applyFont="1" applyAlignment="1">
      <alignment/>
    </xf>
    <xf numFmtId="6" fontId="13" fillId="0" borderId="12" xfId="40" applyNumberFormat="1" applyFont="1" applyBorder="1">
      <alignment/>
      <protection/>
    </xf>
    <xf numFmtId="6" fontId="14" fillId="0" borderId="11" xfId="45" applyNumberFormat="1" applyFont="1" applyBorder="1" applyAlignment="1">
      <alignment/>
    </xf>
    <xf numFmtId="0" fontId="13" fillId="0" borderId="0" xfId="40" applyFont="1" applyBorder="1" applyAlignment="1">
      <alignment horizontal="right"/>
      <protection/>
    </xf>
    <xf numFmtId="0" fontId="13" fillId="0" borderId="0" xfId="40" applyFont="1" applyBorder="1">
      <alignment/>
      <protection/>
    </xf>
    <xf numFmtId="3" fontId="13" fillId="0" borderId="0" xfId="43" applyNumberFormat="1" applyFont="1" applyBorder="1" applyAlignment="1">
      <alignment/>
    </xf>
    <xf numFmtId="6" fontId="13" fillId="0" borderId="0" xfId="45" applyNumberFormat="1" applyFont="1" applyBorder="1" applyAlignment="1">
      <alignment/>
    </xf>
    <xf numFmtId="0" fontId="13" fillId="0" borderId="0" xfId="40" applyFont="1" applyBorder="1" applyAlignment="1">
      <alignment horizontal="center"/>
      <protection/>
    </xf>
    <xf numFmtId="0" fontId="14" fillId="0" borderId="0" xfId="0" applyFont="1" applyAlignment="1">
      <alignment horizontal="right"/>
    </xf>
    <xf numFmtId="6" fontId="14" fillId="0" borderId="0" xfId="0" applyNumberFormat="1" applyFont="1" applyAlignment="1">
      <alignment/>
    </xf>
    <xf numFmtId="3" fontId="14" fillId="0" borderId="0" xfId="0" applyNumberFormat="1" applyFont="1" applyAlignment="1">
      <alignment/>
    </xf>
    <xf numFmtId="0" fontId="13" fillId="0" borderId="0" xfId="0" applyFont="1" applyAlignment="1">
      <alignment horizontal="center"/>
    </xf>
    <xf numFmtId="3" fontId="14" fillId="0" borderId="0" xfId="45" applyNumberFormat="1" applyFont="1" applyAlignment="1">
      <alignment/>
    </xf>
    <xf numFmtId="5" fontId="14" fillId="0" borderId="0" xfId="40" applyNumberFormat="1" applyFont="1" applyAlignment="1">
      <alignment vertical="center"/>
      <protection/>
    </xf>
    <xf numFmtId="3" fontId="14" fillId="0" borderId="0" xfId="40" applyNumberFormat="1" applyFont="1" applyAlignment="1">
      <alignment vertical="center"/>
      <protection/>
    </xf>
    <xf numFmtId="8" fontId="13" fillId="0" borderId="0" xfId="40" applyNumberFormat="1" applyFont="1">
      <alignment/>
      <protection/>
    </xf>
    <xf numFmtId="6" fontId="14" fillId="0" borderId="0" xfId="40" applyNumberFormat="1" applyFont="1" applyAlignment="1">
      <alignment/>
      <protection/>
    </xf>
    <xf numFmtId="6" fontId="13" fillId="0" borderId="0" xfId="40" applyNumberFormat="1" applyFont="1" applyBorder="1">
      <alignment/>
      <protection/>
    </xf>
    <xf numFmtId="6" fontId="14" fillId="0" borderId="0" xfId="45" applyNumberFormat="1" applyFont="1" applyBorder="1" applyAlignment="1">
      <alignment/>
    </xf>
    <xf numFmtId="0" fontId="14" fillId="0" borderId="0" xfId="40" applyFont="1" applyAlignment="1">
      <alignment horizontal="right"/>
      <protection/>
    </xf>
    <xf numFmtId="6" fontId="13" fillId="0" borderId="0" xfId="40" applyNumberFormat="1" applyFont="1">
      <alignment/>
      <protection/>
    </xf>
    <xf numFmtId="6" fontId="14" fillId="0" borderId="0" xfId="45" applyNumberFormat="1" applyFont="1" applyAlignment="1">
      <alignment/>
    </xf>
    <xf numFmtId="0" fontId="13" fillId="0" borderId="0" xfId="40" applyFont="1" applyAlignment="1">
      <alignment horizontal="right"/>
      <protection/>
    </xf>
    <xf numFmtId="0" fontId="14" fillId="0" borderId="12" xfId="40" applyFont="1" applyBorder="1" applyAlignment="1">
      <alignment horizontal="right"/>
      <protection/>
    </xf>
    <xf numFmtId="3" fontId="16" fillId="0" borderId="0" xfId="40" applyNumberFormat="1" applyFont="1" applyAlignment="1" applyProtection="1">
      <alignment horizontal="right"/>
      <protection/>
    </xf>
    <xf numFmtId="3" fontId="16" fillId="0" borderId="11" xfId="40" applyNumberFormat="1" applyFont="1" applyBorder="1" applyAlignment="1" applyProtection="1">
      <alignment horizontal="right"/>
      <protection/>
    </xf>
    <xf numFmtId="3" fontId="16" fillId="0" borderId="0" xfId="43" applyNumberFormat="1" applyFont="1" applyAlignment="1" applyProtection="1">
      <alignment horizontal="right"/>
      <protection/>
    </xf>
    <xf numFmtId="3" fontId="16" fillId="0" borderId="12" xfId="40" applyNumberFormat="1" applyFont="1" applyBorder="1" applyAlignment="1" applyProtection="1">
      <alignment horizontal="right"/>
      <protection/>
    </xf>
    <xf numFmtId="3" fontId="15" fillId="0" borderId="0" xfId="40" applyNumberFormat="1" applyFont="1" applyAlignment="1" applyProtection="1">
      <alignment horizontal="right"/>
      <protection/>
    </xf>
    <xf numFmtId="3" fontId="16" fillId="0" borderId="0" xfId="40" applyNumberFormat="1" applyFont="1" applyBorder="1" applyAlignment="1" applyProtection="1">
      <alignment horizontal="right"/>
      <protection/>
    </xf>
    <xf numFmtId="3" fontId="15" fillId="0" borderId="0" xfId="0" applyNumberFormat="1" applyFont="1" applyAlignment="1" applyProtection="1">
      <alignment horizontal="right"/>
      <protection/>
    </xf>
    <xf numFmtId="3" fontId="15" fillId="0" borderId="0" xfId="45" applyNumberFormat="1" applyFont="1" applyAlignment="1" applyProtection="1">
      <alignment horizontal="right"/>
      <protection/>
    </xf>
    <xf numFmtId="3" fontId="13" fillId="0" borderId="0" xfId="40" applyNumberFormat="1" applyFont="1">
      <alignment/>
      <protection/>
    </xf>
    <xf numFmtId="3" fontId="13" fillId="0" borderId="12" xfId="40" applyNumberFormat="1" applyFont="1" applyBorder="1">
      <alignment/>
      <protection/>
    </xf>
    <xf numFmtId="3" fontId="14" fillId="0" borderId="0" xfId="40" applyNumberFormat="1" applyFont="1">
      <alignment/>
      <protection/>
    </xf>
    <xf numFmtId="3" fontId="13" fillId="0" borderId="0" xfId="40" applyNumberFormat="1" applyFont="1" applyBorder="1">
      <alignment/>
      <protection/>
    </xf>
    <xf numFmtId="3" fontId="13" fillId="0" borderId="12" xfId="40" applyNumberFormat="1" applyFont="1" applyBorder="1" applyAlignment="1">
      <alignment horizontal="center"/>
      <protection/>
    </xf>
    <xf numFmtId="174" fontId="13" fillId="0" borderId="0" xfId="0" applyNumberFormat="1" applyFont="1" applyAlignment="1">
      <alignment/>
    </xf>
    <xf numFmtId="0" fontId="18" fillId="0" borderId="0" xfId="40" applyFont="1" applyBorder="1" applyAlignment="1">
      <alignment horizontal="right"/>
      <protection/>
    </xf>
    <xf numFmtId="0" fontId="18" fillId="0" borderId="0" xfId="40" applyFont="1" applyAlignment="1">
      <alignment horizontal="right"/>
      <protection/>
    </xf>
    <xf numFmtId="0" fontId="13" fillId="0" borderId="0" xfId="40" applyFont="1" applyAlignment="1">
      <alignment horizontal="center"/>
      <protection/>
    </xf>
    <xf numFmtId="3" fontId="13" fillId="0" borderId="0" xfId="40" applyNumberFormat="1" applyFont="1" applyBorder="1" applyAlignment="1">
      <alignment horizontal="right"/>
      <protection/>
    </xf>
    <xf numFmtId="174" fontId="0" fillId="0" borderId="0" xfId="0" applyNumberFormat="1" applyAlignment="1">
      <alignment/>
    </xf>
    <xf numFmtId="0" fontId="7" fillId="0" borderId="0" xfId="40" applyFont="1" applyAlignment="1">
      <alignment horizontal="center"/>
      <protection/>
    </xf>
    <xf numFmtId="0" fontId="20" fillId="0" borderId="0" xfId="0" applyFont="1" applyAlignment="1">
      <alignment/>
    </xf>
    <xf numFmtId="0" fontId="20" fillId="0" borderId="0" xfId="0" applyFont="1" applyAlignment="1">
      <alignment/>
    </xf>
    <xf numFmtId="3" fontId="13" fillId="0" borderId="0" xfId="0" applyNumberFormat="1" applyFont="1" applyAlignment="1">
      <alignment horizontal="center"/>
    </xf>
    <xf numFmtId="6" fontId="21" fillId="0" borderId="0" xfId="40" applyNumberFormat="1" applyFont="1">
      <alignment/>
      <protection/>
    </xf>
    <xf numFmtId="3" fontId="13" fillId="0" borderId="0" xfId="43" applyNumberFormat="1" applyFont="1" applyAlignment="1">
      <alignment horizontal="center"/>
    </xf>
    <xf numFmtId="174" fontId="14" fillId="0" borderId="10" xfId="43" applyNumberFormat="1" applyFont="1" applyBorder="1" applyAlignment="1">
      <alignment horizontal="center" vertical="center" wrapText="1"/>
    </xf>
    <xf numFmtId="174" fontId="13" fillId="0" borderId="0" xfId="43" applyNumberFormat="1" applyFont="1" applyAlignment="1">
      <alignment/>
    </xf>
    <xf numFmtId="174" fontId="13" fillId="0" borderId="11" xfId="43" applyNumberFormat="1" applyFont="1" applyBorder="1" applyAlignment="1">
      <alignment/>
    </xf>
    <xf numFmtId="174" fontId="13" fillId="0" borderId="12" xfId="43" applyNumberFormat="1" applyFont="1" applyBorder="1" applyAlignment="1">
      <alignment/>
    </xf>
    <xf numFmtId="174" fontId="14" fillId="0" borderId="0" xfId="43" applyNumberFormat="1" applyFont="1" applyAlignment="1">
      <alignment/>
    </xf>
    <xf numFmtId="174" fontId="14" fillId="0" borderId="0" xfId="63" applyNumberFormat="1" applyFont="1" applyAlignment="1">
      <alignment/>
    </xf>
    <xf numFmtId="174" fontId="13" fillId="0" borderId="12" xfId="40" applyNumberFormat="1" applyFont="1" applyBorder="1" applyAlignment="1">
      <alignment horizontal="center"/>
      <protection/>
    </xf>
    <xf numFmtId="174" fontId="13" fillId="0" borderId="0" xfId="43" applyNumberFormat="1" applyFont="1" applyBorder="1" applyAlignment="1">
      <alignment/>
    </xf>
    <xf numFmtId="174" fontId="14" fillId="0" borderId="0" xfId="43" applyNumberFormat="1" applyFont="1" applyAlignment="1">
      <alignment/>
    </xf>
    <xf numFmtId="174" fontId="14" fillId="0" borderId="0" xfId="0" applyNumberFormat="1" applyFont="1" applyAlignment="1">
      <alignment/>
    </xf>
    <xf numFmtId="174" fontId="14" fillId="0" borderId="0" xfId="45" applyNumberFormat="1" applyFont="1" applyAlignment="1">
      <alignment/>
    </xf>
    <xf numFmtId="174" fontId="14" fillId="0" borderId="0" xfId="40" applyNumberFormat="1" applyFont="1" applyAlignment="1">
      <alignment vertical="center"/>
      <protection/>
    </xf>
    <xf numFmtId="174" fontId="13" fillId="0" borderId="12" xfId="40" applyNumberFormat="1" applyFont="1" applyBorder="1">
      <alignment/>
      <protection/>
    </xf>
    <xf numFmtId="3" fontId="13" fillId="0" borderId="0" xfId="43" applyNumberFormat="1" applyFont="1" applyAlignment="1">
      <alignment horizontal="center"/>
    </xf>
    <xf numFmtId="174" fontId="14" fillId="0" borderId="0" xfId="0" applyNumberFormat="1" applyFont="1" applyAlignment="1">
      <alignment/>
    </xf>
    <xf numFmtId="5" fontId="23" fillId="0" borderId="0" xfId="40" applyNumberFormat="1" applyFont="1" applyAlignment="1">
      <alignment vertical="center"/>
      <protection/>
    </xf>
    <xf numFmtId="3" fontId="24" fillId="0" borderId="0" xfId="40" applyNumberFormat="1" applyFont="1" applyAlignment="1" applyProtection="1">
      <alignment horizontal="right" vertical="center"/>
      <protection/>
    </xf>
    <xf numFmtId="0" fontId="18" fillId="0" borderId="0" xfId="40" applyFont="1" applyAlignment="1">
      <alignment horizontal="left"/>
      <protection/>
    </xf>
    <xf numFmtId="3" fontId="13" fillId="0" borderId="0" xfId="63" applyNumberFormat="1" applyFont="1" applyAlignment="1">
      <alignment horizontal="center"/>
    </xf>
    <xf numFmtId="0" fontId="25" fillId="0" borderId="0" xfId="40" applyFont="1" applyAlignment="1">
      <alignment horizontal="center"/>
      <protection/>
    </xf>
    <xf numFmtId="174" fontId="14" fillId="0" borderId="0" xfId="43" applyNumberFormat="1" applyFont="1" applyBorder="1" applyAlignment="1">
      <alignment/>
    </xf>
    <xf numFmtId="3" fontId="25" fillId="0" borderId="0" xfId="43" applyNumberFormat="1" applyFont="1" applyAlignment="1">
      <alignment/>
    </xf>
    <xf numFmtId="0" fontId="22" fillId="0" borderId="0" xfId="0" applyFont="1" applyAlignment="1">
      <alignment/>
    </xf>
    <xf numFmtId="3" fontId="26" fillId="0" borderId="0" xfId="0" applyNumberFormat="1" applyFont="1" applyAlignment="1" applyProtection="1">
      <alignment horizontal="right"/>
      <protection/>
    </xf>
    <xf numFmtId="3" fontId="15" fillId="0" borderId="10" xfId="40" applyNumberFormat="1" applyFont="1" applyBorder="1" applyAlignment="1" applyProtection="1">
      <alignment horizontal="center" vertical="center" wrapText="1"/>
      <protection/>
    </xf>
    <xf numFmtId="6" fontId="0" fillId="0" borderId="0" xfId="0" applyNumberFormat="1" applyAlignment="1">
      <alignment/>
    </xf>
    <xf numFmtId="178" fontId="4" fillId="0" borderId="0" xfId="63" applyNumberFormat="1" applyFont="1" applyAlignment="1">
      <alignment horizontal="center"/>
    </xf>
    <xf numFmtId="178" fontId="4" fillId="0" borderId="0" xfId="43" applyNumberFormat="1" applyFont="1" applyAlignment="1">
      <alignment horizontal="center"/>
    </xf>
    <xf numFmtId="3" fontId="14" fillId="0" borderId="0" xfId="43" applyNumberFormat="1" applyFont="1" applyAlignment="1">
      <alignment horizontal="center"/>
    </xf>
    <xf numFmtId="3" fontId="15" fillId="0" borderId="0" xfId="0" applyNumberFormat="1" applyFont="1" applyAlignment="1" applyProtection="1">
      <alignment horizontal="center"/>
      <protection/>
    </xf>
    <xf numFmtId="6" fontId="5" fillId="0" borderId="0" xfId="45" applyNumberFormat="1" applyFont="1" applyAlignment="1">
      <alignment/>
    </xf>
    <xf numFmtId="6" fontId="6" fillId="0" borderId="0" xfId="45" applyNumberFormat="1" applyFont="1" applyAlignment="1">
      <alignment/>
    </xf>
    <xf numFmtId="174" fontId="13" fillId="0" borderId="0" xfId="43" applyNumberFormat="1" applyFont="1" applyAlignment="1">
      <alignment/>
    </xf>
    <xf numFmtId="174" fontId="23" fillId="0" borderId="0" xfId="40" applyNumberFormat="1" applyFont="1" applyAlignment="1">
      <alignment vertical="center"/>
      <protection/>
    </xf>
    <xf numFmtId="174" fontId="14" fillId="0" borderId="0" xfId="43" applyNumberFormat="1" applyFont="1" applyAlignment="1">
      <alignment/>
    </xf>
    <xf numFmtId="174" fontId="13" fillId="0" borderId="12" xfId="43" applyNumberFormat="1" applyFont="1" applyBorder="1" applyAlignment="1">
      <alignment/>
    </xf>
    <xf numFmtId="174" fontId="22" fillId="0" borderId="0" xfId="0" applyNumberFormat="1" applyFont="1" applyAlignment="1">
      <alignment/>
    </xf>
    <xf numFmtId="0" fontId="1" fillId="0" borderId="0" xfId="0" applyFont="1" applyAlignment="1">
      <alignment/>
    </xf>
    <xf numFmtId="3" fontId="28" fillId="0" borderId="0" xfId="0" applyNumberFormat="1" applyFont="1" applyAlignment="1">
      <alignment/>
    </xf>
    <xf numFmtId="174" fontId="29" fillId="0" borderId="0" xfId="45" applyNumberFormat="1" applyFont="1" applyAlignment="1">
      <alignment/>
    </xf>
    <xf numFmtId="174" fontId="30" fillId="0" borderId="0" xfId="43" applyNumberFormat="1" applyFont="1" applyAlignment="1">
      <alignment/>
    </xf>
    <xf numFmtId="174" fontId="30" fillId="0" borderId="0" xfId="63" applyNumberFormat="1" applyFont="1" applyAlignment="1">
      <alignment/>
    </xf>
    <xf numFmtId="3" fontId="30" fillId="0" borderId="0" xfId="63" applyNumberFormat="1" applyFont="1" applyAlignment="1">
      <alignment/>
    </xf>
    <xf numFmtId="174" fontId="30" fillId="0" borderId="0" xfId="43" applyNumberFormat="1" applyFont="1" applyAlignment="1">
      <alignment/>
    </xf>
    <xf numFmtId="3" fontId="30" fillId="0" borderId="0" xfId="43" applyNumberFormat="1" applyFont="1" applyAlignment="1">
      <alignment/>
    </xf>
    <xf numFmtId="0" fontId="31" fillId="0" borderId="0" xfId="60">
      <alignment/>
      <protection/>
    </xf>
    <xf numFmtId="0" fontId="31" fillId="33" borderId="13" xfId="60" applyFill="1" applyBorder="1">
      <alignment/>
      <protection/>
    </xf>
    <xf numFmtId="0" fontId="31" fillId="0" borderId="14" xfId="60" applyBorder="1">
      <alignment/>
      <protection/>
    </xf>
    <xf numFmtId="0" fontId="31" fillId="0" borderId="15" xfId="60" applyBorder="1">
      <alignment/>
      <protection/>
    </xf>
    <xf numFmtId="0" fontId="31" fillId="34" borderId="16" xfId="60" applyFill="1" applyBorder="1">
      <alignment/>
      <protection/>
    </xf>
    <xf numFmtId="177" fontId="31" fillId="0" borderId="0" xfId="60" applyNumberFormat="1" applyBorder="1">
      <alignment/>
      <protection/>
    </xf>
    <xf numFmtId="0" fontId="31" fillId="0" borderId="0" xfId="60" applyBorder="1">
      <alignment/>
      <protection/>
    </xf>
    <xf numFmtId="0" fontId="31" fillId="0" borderId="17" xfId="60" applyBorder="1">
      <alignment/>
      <protection/>
    </xf>
    <xf numFmtId="0" fontId="31" fillId="0" borderId="16" xfId="60" applyBorder="1">
      <alignment/>
      <protection/>
    </xf>
    <xf numFmtId="0" fontId="31" fillId="33" borderId="0" xfId="60" applyFill="1" applyBorder="1">
      <alignment/>
      <protection/>
    </xf>
    <xf numFmtId="0" fontId="31" fillId="0" borderId="0" xfId="60" applyBorder="1" applyAlignment="1">
      <alignment horizontal="center"/>
      <protection/>
    </xf>
    <xf numFmtId="0" fontId="31" fillId="0" borderId="17" xfId="60" applyBorder="1" applyAlignment="1">
      <alignment horizontal="center"/>
      <protection/>
    </xf>
    <xf numFmtId="177" fontId="31" fillId="0" borderId="17" xfId="60" applyNumberFormat="1" applyBorder="1">
      <alignment/>
      <protection/>
    </xf>
    <xf numFmtId="1" fontId="31" fillId="0" borderId="0" xfId="60" applyNumberFormat="1" applyBorder="1">
      <alignment/>
      <protection/>
    </xf>
    <xf numFmtId="0" fontId="31" fillId="33" borderId="16" xfId="60" applyFill="1" applyBorder="1" applyAlignment="1">
      <alignment horizontal="right"/>
      <protection/>
    </xf>
    <xf numFmtId="0" fontId="31" fillId="33" borderId="18" xfId="60" applyFill="1" applyBorder="1" applyAlignment="1">
      <alignment horizontal="right"/>
      <protection/>
    </xf>
    <xf numFmtId="177" fontId="31" fillId="0" borderId="10" xfId="60" applyNumberFormat="1" applyBorder="1">
      <alignment/>
      <protection/>
    </xf>
    <xf numFmtId="0" fontId="31" fillId="0" borderId="10" xfId="60" applyBorder="1">
      <alignment/>
      <protection/>
    </xf>
    <xf numFmtId="0" fontId="31" fillId="0" borderId="19" xfId="60" applyBorder="1">
      <alignment/>
      <protection/>
    </xf>
    <xf numFmtId="0" fontId="31" fillId="35" borderId="13" xfId="60" applyFill="1" applyBorder="1" applyAlignment="1">
      <alignment horizontal="centerContinuous"/>
      <protection/>
    </xf>
    <xf numFmtId="0" fontId="31" fillId="35" borderId="14" xfId="60" applyFill="1" applyBorder="1" applyAlignment="1">
      <alignment horizontal="centerContinuous"/>
      <protection/>
    </xf>
    <xf numFmtId="0" fontId="31" fillId="33" borderId="16" xfId="60" applyFill="1" applyBorder="1">
      <alignment/>
      <protection/>
    </xf>
    <xf numFmtId="0" fontId="31" fillId="34" borderId="0" xfId="60" applyFill="1" applyAlignment="1">
      <alignment horizontal="centerContinuous"/>
      <protection/>
    </xf>
    <xf numFmtId="0" fontId="31" fillId="0" borderId="0" xfId="60" applyProtection="1">
      <alignment/>
      <protection locked="0"/>
    </xf>
    <xf numFmtId="7" fontId="31" fillId="0" borderId="0" xfId="60" applyNumberFormat="1" applyProtection="1">
      <alignment/>
      <protection locked="0"/>
    </xf>
    <xf numFmtId="177" fontId="31" fillId="0" borderId="0" xfId="60" applyNumberFormat="1">
      <alignment/>
      <protection/>
    </xf>
    <xf numFmtId="177" fontId="32" fillId="0" borderId="0" xfId="60" applyNumberFormat="1" applyFont="1">
      <alignment/>
      <protection/>
    </xf>
    <xf numFmtId="0" fontId="31" fillId="0" borderId="0" xfId="60" applyFont="1">
      <alignment/>
      <protection/>
    </xf>
    <xf numFmtId="7" fontId="31" fillId="0" borderId="0" xfId="60" applyNumberFormat="1">
      <alignment/>
      <protection/>
    </xf>
    <xf numFmtId="174" fontId="13" fillId="0" borderId="0" xfId="0" applyNumberFormat="1" applyFont="1" applyAlignment="1">
      <alignment horizontal="center"/>
    </xf>
    <xf numFmtId="38" fontId="16" fillId="0" borderId="0" xfId="43" applyNumberFormat="1" applyFont="1" applyAlignment="1">
      <alignment horizontal="center"/>
    </xf>
    <xf numFmtId="6" fontId="6" fillId="0" borderId="0" xfId="45" applyNumberFormat="1" applyFont="1" applyBorder="1" applyAlignment="1">
      <alignment/>
    </xf>
    <xf numFmtId="0" fontId="0" fillId="34" borderId="16" xfId="0" applyFill="1" applyBorder="1" applyAlignment="1">
      <alignment horizontal="centerContinuous"/>
    </xf>
    <xf numFmtId="0" fontId="0" fillId="34" borderId="0" xfId="0" applyFill="1" applyBorder="1" applyAlignment="1">
      <alignment horizontal="centerContinuous"/>
    </xf>
    <xf numFmtId="0" fontId="0" fillId="34" borderId="17" xfId="0" applyFill="1" applyBorder="1" applyAlignment="1">
      <alignment horizontal="centerContinuous"/>
    </xf>
    <xf numFmtId="0" fontId="0" fillId="0" borderId="16" xfId="0" applyBorder="1" applyAlignment="1">
      <alignment/>
    </xf>
    <xf numFmtId="0" fontId="0" fillId="0" borderId="0" xfId="0" applyBorder="1" applyAlignment="1">
      <alignment/>
    </xf>
    <xf numFmtId="0" fontId="0" fillId="0" borderId="17" xfId="0" applyBorder="1" applyAlignment="1">
      <alignment/>
    </xf>
    <xf numFmtId="174" fontId="6" fillId="0" borderId="0" xfId="0" applyNumberFormat="1" applyFont="1" applyAlignment="1">
      <alignment/>
    </xf>
    <xf numFmtId="8" fontId="0" fillId="0" borderId="0" xfId="0" applyNumberFormat="1" applyAlignment="1">
      <alignment/>
    </xf>
    <xf numFmtId="0" fontId="0" fillId="34" borderId="0" xfId="0" applyFill="1" applyAlignment="1">
      <alignment/>
    </xf>
    <xf numFmtId="177" fontId="0" fillId="34" borderId="0" xfId="0" applyNumberFormat="1" applyFill="1" applyAlignment="1">
      <alignment/>
    </xf>
    <xf numFmtId="0" fontId="0" fillId="34" borderId="0" xfId="0" applyFill="1" applyAlignment="1">
      <alignment wrapText="1"/>
    </xf>
    <xf numFmtId="0" fontId="0" fillId="34" borderId="0" xfId="0" applyFill="1" applyAlignment="1">
      <alignment horizontal="right"/>
    </xf>
    <xf numFmtId="0" fontId="0" fillId="33" borderId="13" xfId="0" applyFill="1" applyBorder="1" applyAlignment="1">
      <alignment/>
    </xf>
    <xf numFmtId="0" fontId="0" fillId="33" borderId="14" xfId="0" applyFill="1" applyBorder="1" applyAlignment="1">
      <alignment horizontal="center"/>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6" xfId="0" applyFill="1" applyBorder="1" applyAlignment="1">
      <alignment wrapText="1"/>
    </xf>
    <xf numFmtId="0" fontId="0" fillId="33" borderId="0" xfId="0" applyFill="1" applyBorder="1" applyAlignment="1">
      <alignment horizontal="right"/>
    </xf>
    <xf numFmtId="177" fontId="0" fillId="33" borderId="0" xfId="0" applyNumberFormat="1" applyFill="1" applyBorder="1" applyAlignment="1">
      <alignment/>
    </xf>
    <xf numFmtId="177" fontId="0" fillId="33" borderId="17" xfId="0" applyNumberFormat="1" applyFill="1" applyBorder="1" applyAlignment="1">
      <alignment/>
    </xf>
    <xf numFmtId="0" fontId="0" fillId="0" borderId="16" xfId="0" applyFill="1" applyBorder="1" applyAlignment="1">
      <alignment wrapText="1"/>
    </xf>
    <xf numFmtId="0" fontId="0" fillId="0" borderId="16" xfId="0" applyFill="1" applyBorder="1" applyAlignment="1">
      <alignment/>
    </xf>
    <xf numFmtId="177" fontId="0" fillId="0" borderId="0" xfId="0" applyNumberFormat="1" applyBorder="1" applyAlignment="1">
      <alignment/>
    </xf>
    <xf numFmtId="0" fontId="0" fillId="0" borderId="0" xfId="0" applyNumberFormat="1" applyBorder="1" applyAlignment="1">
      <alignment/>
    </xf>
    <xf numFmtId="177" fontId="0" fillId="0" borderId="17" xfId="0" applyNumberFormat="1" applyBorder="1" applyAlignment="1">
      <alignment/>
    </xf>
    <xf numFmtId="0" fontId="0" fillId="0" borderId="16"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0" fillId="0" borderId="0" xfId="0" applyFill="1" applyBorder="1" applyAlignment="1">
      <alignment horizontal="left"/>
    </xf>
    <xf numFmtId="177" fontId="0" fillId="34" borderId="0" xfId="0" applyNumberFormat="1" applyFill="1" applyBorder="1" applyAlignment="1">
      <alignment/>
    </xf>
    <xf numFmtId="0" fontId="0" fillId="0" borderId="0" xfId="0" applyFill="1" applyBorder="1" applyAlignment="1">
      <alignment horizontal="centerContinuous"/>
    </xf>
    <xf numFmtId="0" fontId="0" fillId="0" borderId="18" xfId="0" applyFill="1" applyBorder="1" applyAlignment="1">
      <alignment/>
    </xf>
    <xf numFmtId="177" fontId="0" fillId="0" borderId="10" xfId="0" applyNumberFormat="1" applyBorder="1" applyAlignment="1">
      <alignment/>
    </xf>
    <xf numFmtId="177" fontId="0" fillId="34" borderId="10" xfId="0" applyNumberFormat="1" applyFill="1" applyBorder="1" applyAlignment="1">
      <alignment/>
    </xf>
    <xf numFmtId="0" fontId="0" fillId="0" borderId="0" xfId="0" applyFill="1" applyBorder="1" applyAlignment="1">
      <alignment horizontal="right"/>
    </xf>
    <xf numFmtId="177" fontId="0" fillId="0" borderId="0" xfId="0" applyNumberFormat="1" applyFill="1" applyBorder="1" applyAlignment="1">
      <alignment horizontal="centerContinuous"/>
    </xf>
    <xf numFmtId="177" fontId="0" fillId="0" borderId="0" xfId="0" applyNumberFormat="1" applyFill="1" applyBorder="1" applyAlignment="1">
      <alignment horizontal="center"/>
    </xf>
    <xf numFmtId="8" fontId="0" fillId="34" borderId="0" xfId="45" applyFont="1" applyFill="1" applyAlignment="1">
      <alignment/>
    </xf>
    <xf numFmtId="177" fontId="0" fillId="0" borderId="0" xfId="0" applyNumberFormat="1" applyAlignment="1">
      <alignment/>
    </xf>
    <xf numFmtId="8" fontId="0" fillId="0" borderId="0" xfId="45" applyFont="1" applyAlignment="1">
      <alignment/>
    </xf>
    <xf numFmtId="3" fontId="16" fillId="0" borderId="0" xfId="40" applyNumberFormat="1" applyFont="1" applyAlignment="1" applyProtection="1">
      <alignment horizontal="center"/>
      <protection/>
    </xf>
    <xf numFmtId="0" fontId="33" fillId="0" borderId="0" xfId="40" applyFont="1" applyAlignment="1">
      <alignment horizontal="right"/>
      <protection/>
    </xf>
    <xf numFmtId="0" fontId="34" fillId="0" borderId="0" xfId="40" applyFont="1" applyAlignment="1">
      <alignment horizontal="right"/>
      <protection/>
    </xf>
    <xf numFmtId="3" fontId="34" fillId="0" borderId="0" xfId="43" applyNumberFormat="1" applyFont="1" applyAlignment="1">
      <alignment horizontal="right"/>
    </xf>
    <xf numFmtId="0" fontId="35" fillId="0" borderId="0" xfId="40" applyFont="1" applyAlignment="1">
      <alignment horizontal="right"/>
      <protection/>
    </xf>
    <xf numFmtId="0" fontId="33" fillId="0" borderId="0" xfId="0" applyFont="1" applyAlignment="1">
      <alignment horizontal="right"/>
    </xf>
    <xf numFmtId="9" fontId="0" fillId="0" borderId="0" xfId="63" applyFont="1" applyAlignment="1">
      <alignment/>
    </xf>
    <xf numFmtId="8" fontId="1" fillId="0" borderId="0" xfId="45" applyFont="1" applyAlignment="1">
      <alignment/>
    </xf>
    <xf numFmtId="38" fontId="0" fillId="0" borderId="0" xfId="0" applyNumberFormat="1" applyAlignment="1">
      <alignment/>
    </xf>
    <xf numFmtId="6" fontId="0" fillId="0" borderId="0" xfId="45" applyNumberFormat="1" applyFont="1" applyAlignment="1">
      <alignment/>
    </xf>
    <xf numFmtId="0" fontId="23" fillId="0" borderId="0" xfId="40" applyFont="1" applyAlignment="1">
      <alignment horizontal="center"/>
      <protection/>
    </xf>
    <xf numFmtId="0" fontId="37" fillId="0" borderId="10" xfId="40" applyFont="1" applyBorder="1" applyAlignment="1">
      <alignment horizontal="center" vertical="center" wrapText="1"/>
      <protection/>
    </xf>
    <xf numFmtId="0" fontId="38" fillId="0" borderId="0" xfId="40" applyFont="1" applyAlignment="1">
      <alignment horizontal="right"/>
      <protection/>
    </xf>
    <xf numFmtId="174" fontId="13" fillId="0" borderId="0" xfId="40" applyNumberFormat="1" applyFont="1" applyBorder="1" applyAlignment="1">
      <alignment horizontal="right"/>
      <protection/>
    </xf>
    <xf numFmtId="3" fontId="13" fillId="0" borderId="0" xfId="43" applyNumberFormat="1" applyFont="1" applyBorder="1" applyAlignment="1">
      <alignment horizontal="center"/>
    </xf>
    <xf numFmtId="6" fontId="14" fillId="0" borderId="0" xfId="45" applyNumberFormat="1" applyFont="1" applyBorder="1" applyAlignment="1">
      <alignment horizontal="right"/>
    </xf>
    <xf numFmtId="174" fontId="14" fillId="0" borderId="0" xfId="40" applyNumberFormat="1" applyFont="1">
      <alignment/>
      <protection/>
    </xf>
    <xf numFmtId="174" fontId="13" fillId="0" borderId="0" xfId="40" applyNumberFormat="1" applyFont="1" applyBorder="1">
      <alignment/>
      <protection/>
    </xf>
    <xf numFmtId="174" fontId="1" fillId="0" borderId="0" xfId="0" applyNumberFormat="1" applyFont="1" applyAlignment="1">
      <alignment/>
    </xf>
    <xf numFmtId="0" fontId="39" fillId="0" borderId="0" xfId="0" applyFont="1" applyAlignment="1">
      <alignment horizontal="right"/>
    </xf>
    <xf numFmtId="0" fontId="40" fillId="0" borderId="0" xfId="0" applyFont="1" applyAlignment="1">
      <alignment/>
    </xf>
    <xf numFmtId="0" fontId="41" fillId="0" borderId="0" xfId="0" applyFont="1" applyAlignment="1">
      <alignment/>
    </xf>
    <xf numFmtId="0" fontId="32" fillId="0" borderId="0" xfId="0" applyFont="1" applyAlignment="1">
      <alignment horizontal="center"/>
    </xf>
    <xf numFmtId="0" fontId="32" fillId="0" borderId="0" xfId="0" applyFont="1" applyAlignment="1">
      <alignment/>
    </xf>
    <xf numFmtId="174" fontId="32" fillId="0" borderId="0" xfId="0" applyNumberFormat="1" applyFont="1" applyAlignment="1">
      <alignment/>
    </xf>
    <xf numFmtId="175" fontId="0" fillId="0" borderId="0" xfId="0" applyNumberFormat="1" applyAlignment="1">
      <alignment/>
    </xf>
    <xf numFmtId="0" fontId="0" fillId="0" borderId="0" xfId="0" applyAlignment="1">
      <alignment horizontal="right"/>
    </xf>
    <xf numFmtId="174" fontId="0" fillId="0" borderId="0" xfId="45" applyNumberFormat="1" applyFont="1" applyAlignment="1">
      <alignment/>
    </xf>
    <xf numFmtId="174" fontId="1" fillId="0" borderId="0" xfId="45" applyNumberFormat="1" applyFont="1" applyAlignment="1">
      <alignment/>
    </xf>
    <xf numFmtId="6" fontId="1" fillId="0" borderId="0" xfId="45" applyNumberFormat="1" applyFont="1" applyAlignment="1">
      <alignment/>
    </xf>
    <xf numFmtId="0" fontId="41" fillId="0" borderId="0" xfId="0" applyFont="1" applyAlignment="1">
      <alignment/>
    </xf>
    <xf numFmtId="0" fontId="41" fillId="0" borderId="0" xfId="0" applyFont="1" applyAlignment="1">
      <alignment horizontal="right"/>
    </xf>
    <xf numFmtId="180" fontId="41" fillId="0" borderId="0" xfId="45" applyNumberFormat="1" applyFont="1" applyAlignment="1">
      <alignment horizontal="center"/>
    </xf>
    <xf numFmtId="180" fontId="41" fillId="0" borderId="0" xfId="45" applyNumberFormat="1" applyFont="1" applyAlignment="1">
      <alignment/>
    </xf>
    <xf numFmtId="0" fontId="32" fillId="0" borderId="0" xfId="0" applyFont="1" applyAlignment="1">
      <alignment horizontal="right"/>
    </xf>
    <xf numFmtId="0" fontId="32" fillId="0" borderId="0" xfId="0" applyFont="1" applyAlignment="1">
      <alignment/>
    </xf>
    <xf numFmtId="180" fontId="42" fillId="0" borderId="20" xfId="45" applyNumberFormat="1" applyFont="1" applyBorder="1" applyAlignment="1">
      <alignment horizontal="center"/>
    </xf>
    <xf numFmtId="180" fontId="42" fillId="0" borderId="21" xfId="45" applyNumberFormat="1" applyFont="1" applyBorder="1" applyAlignment="1">
      <alignment horizontal="center"/>
    </xf>
    <xf numFmtId="180" fontId="42" fillId="0" borderId="22" xfId="45" applyNumberFormat="1" applyFont="1" applyBorder="1" applyAlignment="1">
      <alignment/>
    </xf>
    <xf numFmtId="180" fontId="42" fillId="0" borderId="23" xfId="45" applyNumberFormat="1" applyFont="1" applyBorder="1" applyAlignment="1">
      <alignment/>
    </xf>
    <xf numFmtId="180" fontId="43" fillId="0" borderId="23" xfId="45" applyNumberFormat="1" applyFont="1" applyBorder="1" applyAlignment="1">
      <alignment/>
    </xf>
    <xf numFmtId="180" fontId="43" fillId="0" borderId="0" xfId="45" applyNumberFormat="1" applyFont="1" applyBorder="1" applyAlignment="1">
      <alignment/>
    </xf>
    <xf numFmtId="180" fontId="43" fillId="0" borderId="24" xfId="45" applyNumberFormat="1" applyFont="1" applyBorder="1" applyAlignment="1">
      <alignment/>
    </xf>
    <xf numFmtId="180" fontId="43" fillId="0" borderId="23" xfId="45" applyNumberFormat="1" applyFont="1" applyBorder="1" applyAlignment="1">
      <alignment horizontal="center"/>
    </xf>
    <xf numFmtId="180" fontId="44" fillId="0" borderId="23" xfId="45" applyNumberFormat="1" applyFont="1" applyBorder="1" applyAlignment="1">
      <alignment horizontal="center"/>
    </xf>
    <xf numFmtId="180" fontId="44" fillId="0" borderId="0" xfId="45" applyNumberFormat="1" applyFont="1" applyBorder="1" applyAlignment="1">
      <alignment horizontal="center"/>
    </xf>
    <xf numFmtId="180" fontId="44" fillId="0" borderId="24" xfId="45" applyNumberFormat="1" applyFont="1" applyBorder="1" applyAlignment="1">
      <alignment/>
    </xf>
    <xf numFmtId="180" fontId="44" fillId="0" borderId="24" xfId="45" applyNumberFormat="1" applyFont="1" applyBorder="1" applyAlignment="1">
      <alignment horizontal="center"/>
    </xf>
    <xf numFmtId="180" fontId="44" fillId="0" borderId="24" xfId="45" applyNumberFormat="1" applyFont="1" applyBorder="1" applyAlignment="1">
      <alignment/>
    </xf>
    <xf numFmtId="180" fontId="43" fillId="0" borderId="23" xfId="0" applyNumberFormat="1" applyFont="1" applyBorder="1" applyAlignment="1">
      <alignment/>
    </xf>
    <xf numFmtId="180" fontId="44" fillId="0" borderId="0" xfId="45" applyNumberFormat="1" applyFont="1" applyBorder="1" applyAlignment="1">
      <alignment/>
    </xf>
    <xf numFmtId="180" fontId="44" fillId="0" borderId="25" xfId="45" applyNumberFormat="1" applyFont="1" applyBorder="1" applyAlignment="1">
      <alignment horizontal="center"/>
    </xf>
    <xf numFmtId="180" fontId="44" fillId="0" borderId="26" xfId="45" applyNumberFormat="1" applyFont="1" applyBorder="1" applyAlignment="1">
      <alignment horizontal="center"/>
    </xf>
    <xf numFmtId="180" fontId="44" fillId="0" borderId="27" xfId="45" applyNumberFormat="1" applyFont="1" applyBorder="1" applyAlignment="1">
      <alignment/>
    </xf>
    <xf numFmtId="180" fontId="44" fillId="0" borderId="23" xfId="45" applyNumberFormat="1" applyFont="1" applyBorder="1" applyAlignment="1">
      <alignment/>
    </xf>
    <xf numFmtId="180" fontId="43" fillId="0" borderId="23" xfId="45" applyNumberFormat="1" applyFont="1" applyBorder="1" applyAlignment="1">
      <alignment horizontal="center"/>
    </xf>
    <xf numFmtId="180" fontId="44" fillId="0" borderId="0" xfId="45" applyNumberFormat="1" applyFont="1" applyBorder="1" applyAlignment="1">
      <alignment horizontal="left"/>
    </xf>
    <xf numFmtId="180" fontId="13" fillId="0" borderId="0" xfId="40" applyNumberFormat="1" applyFont="1">
      <alignment/>
      <protection/>
    </xf>
    <xf numFmtId="180" fontId="43" fillId="0" borderId="20" xfId="45" applyNumberFormat="1" applyFont="1" applyBorder="1" applyAlignment="1">
      <alignment horizontal="centerContinuous"/>
    </xf>
    <xf numFmtId="180" fontId="43" fillId="0" borderId="21" xfId="45" applyNumberFormat="1" applyFont="1" applyBorder="1" applyAlignment="1">
      <alignment horizontal="centerContinuous"/>
    </xf>
    <xf numFmtId="180" fontId="43" fillId="0" borderId="22" xfId="45" applyNumberFormat="1" applyFont="1" applyBorder="1" applyAlignment="1">
      <alignment horizontal="centerContinuous"/>
    </xf>
    <xf numFmtId="180" fontId="43" fillId="0" borderId="0" xfId="45" applyNumberFormat="1" applyFont="1" applyBorder="1" applyAlignment="1">
      <alignment horizontal="center"/>
    </xf>
    <xf numFmtId="180" fontId="43" fillId="0" borderId="24" xfId="45" applyNumberFormat="1" applyFont="1" applyBorder="1" applyAlignment="1">
      <alignment horizontal="center"/>
    </xf>
    <xf numFmtId="180" fontId="43" fillId="0" borderId="23" xfId="0" applyNumberFormat="1" applyFont="1" applyBorder="1" applyAlignment="1">
      <alignment/>
    </xf>
    <xf numFmtId="0" fontId="44" fillId="0" borderId="24" xfId="0" applyFont="1" applyBorder="1" applyAlignment="1">
      <alignment/>
    </xf>
    <xf numFmtId="180" fontId="43" fillId="0" borderId="24" xfId="0" applyNumberFormat="1" applyFont="1" applyBorder="1" applyAlignment="1">
      <alignment/>
    </xf>
    <xf numFmtId="0" fontId="31" fillId="0" borderId="0" xfId="0" applyFont="1" applyAlignment="1">
      <alignment horizontal="right"/>
    </xf>
    <xf numFmtId="180" fontId="44" fillId="0" borderId="24" xfId="0" applyNumberFormat="1" applyFont="1" applyBorder="1" applyAlignment="1">
      <alignment/>
    </xf>
    <xf numFmtId="0" fontId="44" fillId="0" borderId="0" xfId="0" applyFont="1" applyBorder="1" applyAlignment="1">
      <alignment/>
    </xf>
    <xf numFmtId="180" fontId="44" fillId="0" borderId="25" xfId="45" applyNumberFormat="1" applyFont="1" applyBorder="1" applyAlignment="1">
      <alignment/>
    </xf>
    <xf numFmtId="180" fontId="44" fillId="0" borderId="26" xfId="45" applyNumberFormat="1" applyFont="1" applyBorder="1" applyAlignment="1">
      <alignment/>
    </xf>
    <xf numFmtId="180" fontId="44" fillId="0" borderId="27" xfId="0" applyNumberFormat="1" applyFont="1" applyBorder="1" applyAlignment="1">
      <alignment/>
    </xf>
    <xf numFmtId="180" fontId="44" fillId="0" borderId="23" xfId="45" applyNumberFormat="1" applyFont="1" applyFill="1" applyBorder="1" applyAlignment="1">
      <alignment/>
    </xf>
    <xf numFmtId="180" fontId="44" fillId="0" borderId="0" xfId="45" applyNumberFormat="1" applyFont="1" applyFill="1" applyBorder="1" applyAlignment="1">
      <alignment/>
    </xf>
    <xf numFmtId="180" fontId="44" fillId="0" borderId="24" xfId="0" applyNumberFormat="1" applyFont="1" applyFill="1" applyBorder="1" applyAlignment="1">
      <alignment/>
    </xf>
    <xf numFmtId="180" fontId="42" fillId="0" borderId="20" xfId="45" applyNumberFormat="1" applyFont="1" applyBorder="1" applyAlignment="1">
      <alignment horizontal="centerContinuous"/>
    </xf>
    <xf numFmtId="180" fontId="42" fillId="0" borderId="21" xfId="45" applyNumberFormat="1" applyFont="1" applyBorder="1" applyAlignment="1">
      <alignment horizontal="centerContinuous"/>
    </xf>
    <xf numFmtId="180" fontId="42" fillId="0" borderId="22" xfId="45" applyNumberFormat="1" applyFont="1" applyBorder="1" applyAlignment="1">
      <alignment horizontal="centerContinuous"/>
    </xf>
    <xf numFmtId="180" fontId="42" fillId="0" borderId="23" xfId="45" applyNumberFormat="1" applyFont="1" applyBorder="1" applyAlignment="1">
      <alignment horizontal="center"/>
    </xf>
    <xf numFmtId="180" fontId="42" fillId="0" borderId="0" xfId="45" applyNumberFormat="1" applyFont="1" applyBorder="1" applyAlignment="1">
      <alignment horizontal="center"/>
    </xf>
    <xf numFmtId="180" fontId="42" fillId="0" borderId="24" xfId="45" applyNumberFormat="1" applyFont="1" applyBorder="1" applyAlignment="1">
      <alignment horizontal="center"/>
    </xf>
    <xf numFmtId="180" fontId="44" fillId="0" borderId="23" xfId="45" applyNumberFormat="1" applyFont="1" applyBorder="1" applyAlignment="1">
      <alignment horizontal="centerContinuous"/>
    </xf>
    <xf numFmtId="180" fontId="44" fillId="0" borderId="0" xfId="45" applyNumberFormat="1" applyFont="1" applyBorder="1" applyAlignment="1">
      <alignment horizontal="centerContinuous"/>
    </xf>
    <xf numFmtId="180" fontId="44" fillId="0" borderId="24" xfId="45" applyNumberFormat="1" applyFont="1" applyBorder="1" applyAlignment="1">
      <alignment horizontal="centerContinuous"/>
    </xf>
    <xf numFmtId="0" fontId="32" fillId="0" borderId="0" xfId="0" applyFont="1" applyAlignment="1">
      <alignment horizontal="right"/>
    </xf>
    <xf numFmtId="38" fontId="0" fillId="0" borderId="0" xfId="45" applyNumberFormat="1" applyFont="1" applyAlignment="1">
      <alignment/>
    </xf>
    <xf numFmtId="3" fontId="36" fillId="0" borderId="10" xfId="43" applyNumberFormat="1" applyFont="1" applyBorder="1" applyAlignment="1">
      <alignment horizontal="center" vertical="center" wrapText="1"/>
    </xf>
    <xf numFmtId="3" fontId="45" fillId="0" borderId="0" xfId="43" applyNumberFormat="1" applyFont="1" applyAlignment="1">
      <alignment/>
    </xf>
    <xf numFmtId="3" fontId="45" fillId="0" borderId="11" xfId="43" applyNumberFormat="1" applyFont="1" applyBorder="1" applyAlignment="1">
      <alignment/>
    </xf>
    <xf numFmtId="3" fontId="45" fillId="0" borderId="12" xfId="43" applyNumberFormat="1" applyFont="1" applyBorder="1" applyAlignment="1">
      <alignment/>
    </xf>
    <xf numFmtId="174" fontId="45" fillId="0" borderId="0" xfId="0" applyNumberFormat="1" applyFont="1" applyAlignment="1">
      <alignment/>
    </xf>
    <xf numFmtId="3" fontId="45" fillId="0" borderId="0" xfId="0" applyNumberFormat="1" applyFont="1" applyAlignment="1">
      <alignment/>
    </xf>
    <xf numFmtId="3" fontId="36" fillId="0" borderId="0" xfId="43" applyNumberFormat="1" applyFont="1" applyAlignment="1">
      <alignment/>
    </xf>
    <xf numFmtId="3" fontId="36" fillId="0" borderId="0" xfId="63" applyNumberFormat="1" applyFont="1" applyAlignment="1">
      <alignment/>
    </xf>
    <xf numFmtId="3" fontId="36" fillId="0" borderId="0" xfId="43" applyNumberFormat="1" applyFont="1" applyAlignment="1">
      <alignment/>
    </xf>
    <xf numFmtId="3" fontId="45" fillId="0" borderId="0" xfId="43" applyNumberFormat="1" applyFont="1" applyBorder="1" applyAlignment="1">
      <alignment/>
    </xf>
    <xf numFmtId="3" fontId="45" fillId="0" borderId="0" xfId="43" applyNumberFormat="1" applyFont="1" applyAlignment="1">
      <alignment/>
    </xf>
    <xf numFmtId="3" fontId="36" fillId="0" borderId="0" xfId="0" applyNumberFormat="1" applyFont="1" applyAlignment="1">
      <alignment/>
    </xf>
    <xf numFmtId="3" fontId="36" fillId="0" borderId="0" xfId="45" applyNumberFormat="1" applyFont="1" applyAlignment="1">
      <alignment/>
    </xf>
    <xf numFmtId="3" fontId="36" fillId="0" borderId="0" xfId="40" applyNumberFormat="1" applyFont="1" applyAlignment="1">
      <alignment vertical="center"/>
      <protection/>
    </xf>
    <xf numFmtId="3" fontId="46" fillId="0" borderId="0" xfId="40" applyNumberFormat="1" applyFont="1" applyAlignment="1" applyProtection="1">
      <alignment horizontal="right"/>
      <protection/>
    </xf>
    <xf numFmtId="3" fontId="45" fillId="0" borderId="0" xfId="63" applyNumberFormat="1" applyFont="1" applyAlignment="1">
      <alignment/>
    </xf>
    <xf numFmtId="0" fontId="45" fillId="0" borderId="0" xfId="40" applyFont="1" applyBorder="1" applyAlignment="1">
      <alignment horizontal="right"/>
      <protection/>
    </xf>
    <xf numFmtId="0" fontId="14" fillId="0" borderId="12" xfId="40" applyFont="1" applyBorder="1" applyAlignment="1">
      <alignment horizontal="left"/>
      <protection/>
    </xf>
    <xf numFmtId="0" fontId="14" fillId="0" borderId="12" xfId="40" applyFont="1" applyBorder="1" applyAlignment="1">
      <alignment horizontal="right"/>
      <protection/>
    </xf>
    <xf numFmtId="6" fontId="13" fillId="0" borderId="12" xfId="40" applyNumberFormat="1" applyFont="1" applyBorder="1">
      <alignment/>
      <protection/>
    </xf>
    <xf numFmtId="3" fontId="36" fillId="0" borderId="12" xfId="43" applyNumberFormat="1" applyFont="1" applyBorder="1" applyAlignment="1">
      <alignment/>
    </xf>
    <xf numFmtId="174" fontId="14" fillId="0" borderId="12" xfId="0" applyNumberFormat="1" applyFont="1" applyBorder="1" applyAlignment="1">
      <alignment/>
    </xf>
    <xf numFmtId="3" fontId="13" fillId="0" borderId="12" xfId="43" applyNumberFormat="1" applyFont="1" applyBorder="1" applyAlignment="1">
      <alignment horizontal="center"/>
    </xf>
    <xf numFmtId="3" fontId="14" fillId="0" borderId="12" xfId="43" applyNumberFormat="1" applyFont="1" applyBorder="1" applyAlignment="1">
      <alignment horizontal="center"/>
    </xf>
    <xf numFmtId="6" fontId="14" fillId="0" borderId="12" xfId="45" applyNumberFormat="1" applyFont="1" applyBorder="1" applyAlignment="1">
      <alignment/>
    </xf>
    <xf numFmtId="0" fontId="13" fillId="0" borderId="12" xfId="40" applyFont="1" applyBorder="1" applyAlignment="1">
      <alignment horizontal="center"/>
      <protection/>
    </xf>
    <xf numFmtId="0" fontId="14" fillId="0" borderId="0" xfId="40" applyFont="1" applyAlignment="1">
      <alignment horizontal="left"/>
      <protection/>
    </xf>
    <xf numFmtId="0" fontId="14" fillId="0" borderId="0" xfId="40" applyFont="1" applyAlignment="1">
      <alignment horizontal="left"/>
      <protection/>
    </xf>
    <xf numFmtId="0" fontId="49" fillId="0" borderId="0" xfId="40" applyFont="1" applyAlignment="1">
      <alignment horizontal="right"/>
      <protection/>
    </xf>
    <xf numFmtId="0" fontId="50" fillId="0" borderId="0" xfId="40" applyFont="1" applyAlignment="1">
      <alignment horizontal="right"/>
      <protection/>
    </xf>
    <xf numFmtId="0" fontId="49" fillId="0" borderId="0" xfId="40" applyFont="1" applyAlignment="1">
      <alignment horizontal="left" wrapText="1"/>
      <protection/>
    </xf>
    <xf numFmtId="0" fontId="49" fillId="0" borderId="0" xfId="0" applyFont="1" applyAlignment="1">
      <alignment horizontal="right"/>
    </xf>
    <xf numFmtId="0" fontId="47" fillId="0" borderId="0" xfId="40" applyFont="1" applyAlignment="1">
      <alignment horizontal="left"/>
      <protection/>
    </xf>
    <xf numFmtId="0" fontId="25" fillId="0" borderId="0" xfId="40" applyFont="1" applyBorder="1" applyAlignment="1">
      <alignment horizontal="right"/>
      <protection/>
    </xf>
    <xf numFmtId="0" fontId="25" fillId="0" borderId="0" xfId="40" applyFont="1" applyAlignment="1">
      <alignment horizontal="right"/>
      <protection/>
    </xf>
    <xf numFmtId="0" fontId="25" fillId="0" borderId="0" xfId="40" applyFont="1" applyBorder="1" applyAlignment="1">
      <alignment horizontal="left"/>
      <protection/>
    </xf>
    <xf numFmtId="0" fontId="53" fillId="0" borderId="0" xfId="40" applyFont="1" applyAlignment="1">
      <alignment horizontal="left"/>
      <protection/>
    </xf>
    <xf numFmtId="0" fontId="51" fillId="0" borderId="0" xfId="40" applyFont="1" applyAlignment="1">
      <alignment horizontal="left" wrapText="1"/>
      <protection/>
    </xf>
    <xf numFmtId="0" fontId="49" fillId="0" borderId="0" xfId="40" applyFont="1" applyBorder="1" applyAlignment="1">
      <alignment horizontal="left" wrapText="1"/>
      <protection/>
    </xf>
    <xf numFmtId="174" fontId="54" fillId="0" borderId="0" xfId="45" applyNumberFormat="1" applyFont="1" applyAlignment="1">
      <alignment/>
    </xf>
    <xf numFmtId="0" fontId="37" fillId="0" borderId="0" xfId="40" applyFont="1" applyBorder="1" applyAlignment="1">
      <alignment horizontal="left"/>
      <protection/>
    </xf>
    <xf numFmtId="0" fontId="14" fillId="0" borderId="28" xfId="40" applyFont="1" applyBorder="1" applyAlignment="1">
      <alignment horizontal="right"/>
      <protection/>
    </xf>
    <xf numFmtId="6" fontId="13" fillId="0" borderId="28" xfId="40" applyNumberFormat="1" applyFont="1" applyBorder="1">
      <alignment/>
      <protection/>
    </xf>
    <xf numFmtId="3" fontId="16" fillId="0" borderId="28" xfId="40" applyNumberFormat="1" applyFont="1" applyBorder="1" applyAlignment="1" applyProtection="1">
      <alignment horizontal="right"/>
      <protection/>
    </xf>
    <xf numFmtId="3" fontId="13" fillId="0" borderId="28" xfId="43" applyNumberFormat="1" applyFont="1" applyBorder="1" applyAlignment="1">
      <alignment/>
    </xf>
    <xf numFmtId="3" fontId="45" fillId="0" borderId="28" xfId="43" applyNumberFormat="1" applyFont="1" applyBorder="1" applyAlignment="1">
      <alignment/>
    </xf>
    <xf numFmtId="174" fontId="13" fillId="0" borderId="28" xfId="43" applyNumberFormat="1" applyFont="1" applyBorder="1" applyAlignment="1">
      <alignment/>
    </xf>
    <xf numFmtId="0" fontId="13" fillId="0" borderId="28" xfId="40" applyFont="1" applyBorder="1" applyAlignment="1">
      <alignment horizontal="center"/>
      <protection/>
    </xf>
    <xf numFmtId="6" fontId="13" fillId="0" borderId="28" xfId="45" applyNumberFormat="1" applyFont="1" applyBorder="1" applyAlignment="1">
      <alignment/>
    </xf>
    <xf numFmtId="0" fontId="17" fillId="0" borderId="0" xfId="40" applyFont="1" applyBorder="1" applyAlignment="1">
      <alignment horizontal="left"/>
      <protection/>
    </xf>
    <xf numFmtId="6" fontId="13" fillId="0" borderId="0" xfId="40" applyNumberFormat="1" applyFont="1" applyBorder="1" applyAlignment="1">
      <alignment horizontal="left"/>
      <protection/>
    </xf>
    <xf numFmtId="3" fontId="16" fillId="0" borderId="0" xfId="40" applyNumberFormat="1" applyFont="1" applyBorder="1" applyAlignment="1" applyProtection="1">
      <alignment horizontal="left"/>
      <protection/>
    </xf>
    <xf numFmtId="3" fontId="13" fillId="0" borderId="0" xfId="43" applyNumberFormat="1" applyFont="1" applyBorder="1" applyAlignment="1">
      <alignment horizontal="left"/>
    </xf>
    <xf numFmtId="3" fontId="45" fillId="0" borderId="0" xfId="43" applyNumberFormat="1" applyFont="1" applyBorder="1" applyAlignment="1">
      <alignment horizontal="left"/>
    </xf>
    <xf numFmtId="174" fontId="13" fillId="0" borderId="0" xfId="43" applyNumberFormat="1" applyFont="1" applyBorder="1" applyAlignment="1">
      <alignment horizontal="left"/>
    </xf>
    <xf numFmtId="0" fontId="13" fillId="0" borderId="0" xfId="40" applyFont="1" applyBorder="1" applyAlignment="1">
      <alignment horizontal="left"/>
      <protection/>
    </xf>
    <xf numFmtId="6" fontId="13" fillId="0" borderId="0" xfId="45" applyNumberFormat="1" applyFont="1" applyBorder="1" applyAlignment="1">
      <alignment horizontal="left"/>
    </xf>
    <xf numFmtId="6" fontId="45" fillId="0" borderId="28" xfId="40" applyNumberFormat="1" applyFont="1" applyBorder="1">
      <alignment/>
      <protection/>
    </xf>
    <xf numFmtId="174" fontId="13" fillId="0" borderId="28" xfId="40" applyNumberFormat="1" applyFont="1" applyBorder="1">
      <alignment/>
      <protection/>
    </xf>
    <xf numFmtId="0" fontId="45" fillId="0" borderId="28" xfId="40" applyFont="1" applyBorder="1" applyAlignment="1">
      <alignment horizontal="center"/>
      <protection/>
    </xf>
    <xf numFmtId="174" fontId="13" fillId="0" borderId="28" xfId="40" applyNumberFormat="1" applyFont="1" applyBorder="1" applyAlignment="1">
      <alignment horizontal="center"/>
      <protection/>
    </xf>
    <xf numFmtId="0" fontId="13" fillId="0" borderId="29" xfId="40" applyFont="1" applyBorder="1" applyAlignment="1">
      <alignment horizontal="right"/>
      <protection/>
    </xf>
    <xf numFmtId="0" fontId="13" fillId="0" borderId="29" xfId="40" applyFont="1" applyBorder="1" applyAlignment="1">
      <alignment horizontal="center"/>
      <protection/>
    </xf>
    <xf numFmtId="3" fontId="16" fillId="0" borderId="29" xfId="40" applyNumberFormat="1" applyFont="1" applyBorder="1" applyAlignment="1" applyProtection="1">
      <alignment horizontal="right"/>
      <protection/>
    </xf>
    <xf numFmtId="0" fontId="45" fillId="0" borderId="29" xfId="40" applyFont="1" applyBorder="1" applyAlignment="1">
      <alignment horizontal="center"/>
      <protection/>
    </xf>
    <xf numFmtId="174" fontId="13" fillId="0" borderId="29" xfId="40" applyNumberFormat="1" applyFont="1" applyBorder="1" applyAlignment="1">
      <alignment horizontal="center"/>
      <protection/>
    </xf>
    <xf numFmtId="3" fontId="16" fillId="0" borderId="0" xfId="40" applyNumberFormat="1" applyFont="1" applyAlignment="1" applyProtection="1">
      <alignment/>
      <protection/>
    </xf>
    <xf numFmtId="38" fontId="16" fillId="0" borderId="0" xfId="43" applyNumberFormat="1" applyFont="1" applyAlignment="1">
      <alignment/>
    </xf>
    <xf numFmtId="174" fontId="45" fillId="0" borderId="0" xfId="43" applyNumberFormat="1" applyFont="1" applyAlignment="1">
      <alignment/>
    </xf>
    <xf numFmtId="174" fontId="55" fillId="0" borderId="0" xfId="43" applyNumberFormat="1" applyFont="1" applyAlignment="1">
      <alignment/>
    </xf>
    <xf numFmtId="0" fontId="55" fillId="0" borderId="0" xfId="40" applyFont="1" applyAlignment="1">
      <alignment horizontal="right"/>
      <protection/>
    </xf>
    <xf numFmtId="174" fontId="13" fillId="0" borderId="0" xfId="43" applyNumberFormat="1" applyFont="1" applyAlignment="1">
      <alignment horizontal="right"/>
    </xf>
    <xf numFmtId="174" fontId="13" fillId="0" borderId="0" xfId="0" applyNumberFormat="1" applyFont="1" applyAlignment="1">
      <alignment horizontal="right"/>
    </xf>
    <xf numFmtId="174" fontId="14" fillId="0" borderId="0" xfId="43" applyNumberFormat="1" applyFont="1" applyAlignment="1">
      <alignment horizontal="right"/>
    </xf>
    <xf numFmtId="174" fontId="13" fillId="0" borderId="0" xfId="63" applyNumberFormat="1" applyFont="1" applyAlignment="1">
      <alignment horizontal="right"/>
    </xf>
    <xf numFmtId="174" fontId="13" fillId="0" borderId="0" xfId="45" applyNumberFormat="1" applyFont="1" applyAlignment="1">
      <alignment horizontal="right"/>
    </xf>
    <xf numFmtId="174" fontId="14" fillId="0" borderId="0" xfId="43" applyNumberFormat="1" applyFont="1" applyAlignment="1">
      <alignment horizontal="right"/>
    </xf>
    <xf numFmtId="174" fontId="13" fillId="0" borderId="28" xfId="43" applyNumberFormat="1" applyFont="1" applyBorder="1" applyAlignment="1">
      <alignment horizontal="right"/>
    </xf>
    <xf numFmtId="174" fontId="13" fillId="0" borderId="0" xfId="43" applyNumberFormat="1" applyFont="1" applyAlignment="1">
      <alignment horizontal="right"/>
    </xf>
    <xf numFmtId="174" fontId="13" fillId="0" borderId="0" xfId="43" applyNumberFormat="1" applyFont="1" applyBorder="1" applyAlignment="1">
      <alignment horizontal="right"/>
    </xf>
    <xf numFmtId="174" fontId="13" fillId="0" borderId="28" xfId="40" applyNumberFormat="1" applyFont="1" applyBorder="1" applyAlignment="1">
      <alignment horizontal="right"/>
      <protection/>
    </xf>
    <xf numFmtId="1" fontId="1" fillId="0" borderId="0" xfId="45" applyNumberFormat="1" applyFont="1" applyAlignment="1">
      <alignment/>
    </xf>
    <xf numFmtId="1" fontId="1" fillId="0" borderId="0" xfId="0" applyNumberFormat="1" applyFont="1" applyAlignment="1">
      <alignment/>
    </xf>
    <xf numFmtId="180" fontId="43" fillId="0" borderId="0" xfId="45" applyNumberFormat="1" applyFont="1" applyBorder="1" applyAlignment="1">
      <alignment horizontal="center"/>
    </xf>
    <xf numFmtId="3" fontId="56" fillId="0" borderId="0" xfId="43" applyNumberFormat="1" applyFont="1" applyAlignment="1">
      <alignment/>
    </xf>
    <xf numFmtId="8" fontId="13" fillId="0" borderId="0" xfId="45" applyFont="1" applyAlignment="1">
      <alignment horizontal="right"/>
    </xf>
    <xf numFmtId="174" fontId="57" fillId="0" borderId="0" xfId="45" applyNumberFormat="1" applyFont="1" applyAlignment="1">
      <alignment/>
    </xf>
    <xf numFmtId="9" fontId="6" fillId="0" borderId="0" xfId="63" applyFont="1" applyAlignment="1">
      <alignment/>
    </xf>
    <xf numFmtId="6" fontId="6" fillId="0" borderId="0" xfId="45" applyNumberFormat="1" applyFont="1" applyAlignment="1">
      <alignment horizontal="right"/>
    </xf>
    <xf numFmtId="6" fontId="6" fillId="0" borderId="0" xfId="45" applyNumberFormat="1" applyFont="1" applyAlignment="1">
      <alignment horizontal="right"/>
    </xf>
    <xf numFmtId="6" fontId="58" fillId="0" borderId="0" xfId="45" applyNumberFormat="1" applyFont="1" applyAlignment="1">
      <alignment/>
    </xf>
    <xf numFmtId="6" fontId="5" fillId="0" borderId="0" xfId="45" applyNumberFormat="1" applyFont="1" applyAlignment="1">
      <alignment horizontal="right"/>
    </xf>
    <xf numFmtId="6" fontId="6" fillId="0" borderId="0" xfId="45" applyNumberFormat="1" applyFont="1" applyAlignment="1">
      <alignment horizontal="centerContinuous"/>
    </xf>
    <xf numFmtId="3" fontId="59" fillId="0" borderId="0" xfId="43" applyNumberFormat="1" applyFont="1" applyAlignment="1">
      <alignment horizontal="centerContinuous"/>
    </xf>
    <xf numFmtId="10" fontId="6" fillId="0" borderId="0" xfId="63" applyNumberFormat="1" applyFont="1" applyAlignment="1">
      <alignment/>
    </xf>
    <xf numFmtId="174" fontId="6" fillId="0" borderId="0" xfId="63" applyNumberFormat="1" applyFont="1" applyAlignment="1">
      <alignment/>
    </xf>
    <xf numFmtId="13" fontId="6" fillId="0" borderId="0" xfId="45" applyNumberFormat="1" applyFont="1" applyAlignment="1">
      <alignment/>
    </xf>
    <xf numFmtId="6" fontId="59" fillId="0" borderId="0" xfId="45" applyNumberFormat="1" applyFont="1" applyAlignment="1">
      <alignment horizontal="centerContinuous"/>
    </xf>
    <xf numFmtId="3" fontId="5" fillId="0" borderId="0" xfId="43" applyNumberFormat="1" applyFont="1" applyAlignment="1">
      <alignment/>
    </xf>
    <xf numFmtId="6" fontId="5" fillId="0" borderId="0" xfId="45" applyNumberFormat="1" applyFont="1" applyAlignment="1">
      <alignment horizontal="right"/>
    </xf>
    <xf numFmtId="9" fontId="0" fillId="0" borderId="0" xfId="63" applyFont="1" applyAlignment="1">
      <alignment/>
    </xf>
    <xf numFmtId="9" fontId="6" fillId="0" borderId="0" xfId="63" applyFont="1" applyAlignment="1">
      <alignment/>
    </xf>
    <xf numFmtId="182" fontId="6" fillId="0" borderId="0" xfId="63" applyNumberFormat="1" applyFont="1" applyAlignment="1">
      <alignment/>
    </xf>
    <xf numFmtId="0" fontId="27" fillId="0" borderId="0" xfId="0" applyFont="1" applyAlignment="1">
      <alignment horizontal="right"/>
    </xf>
    <xf numFmtId="3" fontId="5" fillId="0" borderId="0" xfId="43" applyNumberFormat="1" applyFont="1" applyAlignment="1">
      <alignment horizontal="right"/>
    </xf>
    <xf numFmtId="0" fontId="5" fillId="0" borderId="0" xfId="0" applyFont="1" applyAlignment="1">
      <alignment horizontal="right"/>
    </xf>
    <xf numFmtId="3" fontId="5" fillId="0" borderId="0" xfId="43" applyNumberFormat="1" applyFont="1" applyAlignment="1">
      <alignment horizontal="right"/>
    </xf>
    <xf numFmtId="2" fontId="6" fillId="0" borderId="0" xfId="45" applyNumberFormat="1" applyFont="1" applyAlignment="1">
      <alignment/>
    </xf>
    <xf numFmtId="182" fontId="0" fillId="0" borderId="0" xfId="63" applyNumberFormat="1" applyFont="1" applyAlignment="1">
      <alignment/>
    </xf>
    <xf numFmtId="182" fontId="6" fillId="0" borderId="0" xfId="45" applyNumberFormat="1" applyFont="1" applyAlignment="1">
      <alignment/>
    </xf>
    <xf numFmtId="182" fontId="6" fillId="0" borderId="0" xfId="45" applyNumberFormat="1" applyFont="1" applyAlignment="1">
      <alignment horizontal="right"/>
    </xf>
    <xf numFmtId="177" fontId="6" fillId="0" borderId="0" xfId="45" applyNumberFormat="1" applyFont="1" applyAlignment="1">
      <alignment horizontal="right"/>
    </xf>
    <xf numFmtId="6" fontId="5" fillId="0" borderId="30" xfId="40" applyNumberFormat="1" applyFont="1" applyBorder="1" applyAlignment="1">
      <alignment horizontal="right"/>
      <protection/>
    </xf>
    <xf numFmtId="6" fontId="5" fillId="0" borderId="31" xfId="40" applyNumberFormat="1" applyFont="1" applyBorder="1" applyAlignment="1">
      <alignment horizontal="right"/>
      <protection/>
    </xf>
    <xf numFmtId="3" fontId="5" fillId="0" borderId="31" xfId="43" applyNumberFormat="1" applyFont="1" applyBorder="1" applyAlignment="1">
      <alignment horizontal="center"/>
    </xf>
    <xf numFmtId="3" fontId="5" fillId="0" borderId="31" xfId="43" applyNumberFormat="1" applyFont="1" applyBorder="1" applyAlignment="1">
      <alignment horizontal="center"/>
    </xf>
    <xf numFmtId="3" fontId="5" fillId="0" borderId="32" xfId="43" applyNumberFormat="1" applyFont="1" applyBorder="1" applyAlignment="1">
      <alignment horizontal="center"/>
    </xf>
    <xf numFmtId="6" fontId="6" fillId="0" borderId="33" xfId="45" applyNumberFormat="1" applyFont="1" applyBorder="1" applyAlignment="1">
      <alignment/>
    </xf>
    <xf numFmtId="6" fontId="59" fillId="0" borderId="0" xfId="45" applyNumberFormat="1" applyFont="1" applyBorder="1" applyAlignment="1">
      <alignment horizontal="center"/>
    </xf>
    <xf numFmtId="6" fontId="59" fillId="0" borderId="34" xfId="45" applyNumberFormat="1" applyFont="1" applyBorder="1" applyAlignment="1">
      <alignment horizontal="center"/>
    </xf>
    <xf numFmtId="182" fontId="0" fillId="0" borderId="33" xfId="63" applyNumberFormat="1" applyFont="1" applyBorder="1" applyAlignment="1">
      <alignment horizontal="right"/>
    </xf>
    <xf numFmtId="174" fontId="61" fillId="0" borderId="0" xfId="63" applyNumberFormat="1" applyFont="1" applyBorder="1" applyAlignment="1">
      <alignment/>
    </xf>
    <xf numFmtId="174" fontId="62" fillId="0" borderId="0" xfId="45" applyNumberFormat="1" applyFont="1" applyBorder="1" applyAlignment="1">
      <alignment/>
    </xf>
    <xf numFmtId="9" fontId="0" fillId="0" borderId="33" xfId="63" applyFont="1" applyBorder="1" applyAlignment="1">
      <alignment horizontal="right"/>
    </xf>
    <xf numFmtId="0" fontId="0" fillId="0" borderId="33" xfId="0" applyFont="1" applyBorder="1" applyAlignment="1">
      <alignment horizontal="right"/>
    </xf>
    <xf numFmtId="174" fontId="62" fillId="0" borderId="34" xfId="45" applyNumberFormat="1" applyFont="1" applyBorder="1" applyAlignment="1">
      <alignment/>
    </xf>
    <xf numFmtId="6" fontId="6" fillId="0" borderId="33" xfId="45" applyNumberFormat="1" applyFont="1" applyBorder="1" applyAlignment="1">
      <alignment horizontal="right"/>
    </xf>
    <xf numFmtId="6" fontId="0" fillId="0" borderId="33" xfId="0" applyNumberFormat="1" applyBorder="1" applyAlignment="1">
      <alignment horizontal="right"/>
    </xf>
    <xf numFmtId="6" fontId="0" fillId="0" borderId="33" xfId="0" applyNumberFormat="1" applyBorder="1" applyAlignment="1">
      <alignment/>
    </xf>
    <xf numFmtId="6" fontId="5" fillId="0" borderId="33" xfId="45" applyNumberFormat="1" applyFont="1" applyBorder="1" applyAlignment="1">
      <alignment/>
    </xf>
    <xf numFmtId="6" fontId="59" fillId="0" borderId="0" xfId="45" applyNumberFormat="1" applyFont="1" applyBorder="1" applyAlignment="1">
      <alignment horizontal="centerContinuous"/>
    </xf>
    <xf numFmtId="6" fontId="6" fillId="0" borderId="0" xfId="45" applyNumberFormat="1" applyFont="1" applyBorder="1" applyAlignment="1">
      <alignment horizontal="right"/>
    </xf>
    <xf numFmtId="6" fontId="5" fillId="0" borderId="0" xfId="45" applyNumberFormat="1" applyFont="1" applyBorder="1" applyAlignment="1">
      <alignment horizontal="right"/>
    </xf>
    <xf numFmtId="6" fontId="5" fillId="0" borderId="0" xfId="45" applyNumberFormat="1" applyFont="1" applyBorder="1" applyAlignment="1">
      <alignment/>
    </xf>
    <xf numFmtId="6" fontId="5" fillId="0" borderId="33" xfId="45" applyNumberFormat="1" applyFont="1" applyBorder="1" applyAlignment="1">
      <alignment horizontal="right"/>
    </xf>
    <xf numFmtId="6" fontId="5" fillId="0" borderId="35" xfId="45" applyNumberFormat="1" applyFont="1" applyBorder="1" applyAlignment="1">
      <alignment horizontal="right"/>
    </xf>
    <xf numFmtId="6" fontId="5" fillId="0" borderId="28" xfId="45" applyNumberFormat="1" applyFont="1" applyBorder="1" applyAlignment="1">
      <alignment/>
    </xf>
    <xf numFmtId="6" fontId="6" fillId="0" borderId="28" xfId="45" applyNumberFormat="1"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6" fontId="1" fillId="0" borderId="0" xfId="0" applyNumberFormat="1" applyFont="1" applyBorder="1" applyAlignment="1">
      <alignment horizontal="center"/>
    </xf>
    <xf numFmtId="0" fontId="60" fillId="0" borderId="34" xfId="0" applyFont="1" applyBorder="1" applyAlignment="1">
      <alignment horizontal="center"/>
    </xf>
    <xf numFmtId="0" fontId="5" fillId="0" borderId="33" xfId="0" applyFont="1" applyBorder="1" applyAlignment="1">
      <alignment horizontal="right"/>
    </xf>
    <xf numFmtId="177" fontId="6" fillId="0" borderId="0" xfId="0" applyNumberFormat="1" applyFont="1" applyBorder="1" applyAlignment="1">
      <alignment horizontal="right"/>
    </xf>
    <xf numFmtId="182" fontId="6" fillId="0" borderId="34" xfId="0" applyNumberFormat="1" applyFont="1" applyBorder="1" applyAlignment="1">
      <alignment horizontal="right"/>
    </xf>
    <xf numFmtId="6" fontId="5" fillId="0" borderId="33" xfId="40" applyNumberFormat="1" applyFont="1" applyBorder="1" applyAlignment="1">
      <alignment horizontal="right"/>
      <protection/>
    </xf>
    <xf numFmtId="3" fontId="5" fillId="0" borderId="33" xfId="43" applyNumberFormat="1" applyFont="1" applyBorder="1" applyAlignment="1">
      <alignment horizontal="right"/>
    </xf>
    <xf numFmtId="3" fontId="5" fillId="0" borderId="33" xfId="43" applyNumberFormat="1" applyFont="1" applyBorder="1" applyAlignment="1">
      <alignment horizontal="right"/>
    </xf>
    <xf numFmtId="3" fontId="5" fillId="0" borderId="33" xfId="43" applyNumberFormat="1" applyFont="1" applyBorder="1" applyAlignment="1">
      <alignment/>
    </xf>
    <xf numFmtId="177" fontId="6" fillId="0" borderId="0" xfId="45" applyNumberFormat="1" applyFont="1" applyBorder="1" applyAlignment="1">
      <alignment horizontal="right"/>
    </xf>
    <xf numFmtId="3" fontId="6" fillId="0" borderId="33" xfId="43" applyNumberFormat="1" applyFont="1" applyBorder="1" applyAlignment="1">
      <alignment/>
    </xf>
    <xf numFmtId="3" fontId="6" fillId="0" borderId="35" xfId="43" applyNumberFormat="1" applyFont="1" applyBorder="1" applyAlignment="1">
      <alignment/>
    </xf>
    <xf numFmtId="177" fontId="6" fillId="0" borderId="28" xfId="45" applyNumberFormat="1" applyFont="1" applyBorder="1" applyAlignment="1">
      <alignment horizontal="right"/>
    </xf>
    <xf numFmtId="182" fontId="6" fillId="0" borderId="36" xfId="45" applyNumberFormat="1" applyFont="1" applyBorder="1" applyAlignment="1">
      <alignment horizontal="right"/>
    </xf>
    <xf numFmtId="3" fontId="59" fillId="0" borderId="30" xfId="43" applyNumberFormat="1" applyFont="1" applyBorder="1" applyAlignment="1">
      <alignment horizontal="centerContinuous"/>
    </xf>
    <xf numFmtId="6" fontId="6" fillId="0" borderId="31" xfId="45" applyNumberFormat="1" applyFont="1" applyBorder="1" applyAlignment="1">
      <alignment horizontal="centerContinuous"/>
    </xf>
    <xf numFmtId="6" fontId="5" fillId="0" borderId="32" xfId="45" applyNumberFormat="1" applyFont="1" applyBorder="1" applyAlignment="1">
      <alignment horizontal="centerContinuous"/>
    </xf>
    <xf numFmtId="3" fontId="6" fillId="0" borderId="33" xfId="43" applyNumberFormat="1" applyFont="1" applyBorder="1" applyAlignment="1">
      <alignment horizontal="centerContinuous"/>
    </xf>
    <xf numFmtId="6" fontId="6" fillId="0" borderId="0" xfId="45" applyNumberFormat="1" applyFont="1" applyBorder="1" applyAlignment="1">
      <alignment horizontal="centerContinuous"/>
    </xf>
    <xf numFmtId="6" fontId="5" fillId="0" borderId="34" xfId="45" applyNumberFormat="1" applyFont="1" applyBorder="1" applyAlignment="1">
      <alignment horizontal="centerContinuous"/>
    </xf>
    <xf numFmtId="3" fontId="59" fillId="0" borderId="33" xfId="43" applyNumberFormat="1" applyFont="1" applyBorder="1" applyAlignment="1">
      <alignment horizontal="centerContinuous"/>
    </xf>
    <xf numFmtId="6" fontId="5" fillId="0" borderId="34" xfId="45" applyNumberFormat="1" applyFont="1" applyBorder="1" applyAlignment="1">
      <alignment/>
    </xf>
    <xf numFmtId="6" fontId="6" fillId="0" borderId="34" xfId="45" applyNumberFormat="1" applyFont="1" applyBorder="1" applyAlignment="1">
      <alignment/>
    </xf>
    <xf numFmtId="6" fontId="6" fillId="0" borderId="0" xfId="45" applyNumberFormat="1" applyFont="1" applyBorder="1" applyAlignment="1">
      <alignment horizontal="right"/>
    </xf>
    <xf numFmtId="9" fontId="6" fillId="0" borderId="0" xfId="63" applyFont="1" applyBorder="1" applyAlignment="1">
      <alignment/>
    </xf>
    <xf numFmtId="13" fontId="6" fillId="0" borderId="0" xfId="45" applyNumberFormat="1" applyFont="1" applyBorder="1" applyAlignment="1">
      <alignment/>
    </xf>
    <xf numFmtId="6" fontId="6" fillId="0" borderId="28" xfId="45" applyNumberFormat="1" applyFont="1" applyBorder="1" applyAlignment="1">
      <alignment horizontal="right"/>
    </xf>
    <xf numFmtId="3" fontId="6" fillId="0" borderId="30" xfId="43" applyNumberFormat="1" applyFont="1" applyBorder="1" applyAlignment="1">
      <alignment/>
    </xf>
    <xf numFmtId="6" fontId="6" fillId="0" borderId="31" xfId="45" applyNumberFormat="1" applyFont="1" applyBorder="1" applyAlignment="1">
      <alignment/>
    </xf>
    <xf numFmtId="6" fontId="6" fillId="0" borderId="31" xfId="45" applyNumberFormat="1" applyFont="1" applyBorder="1" applyAlignment="1">
      <alignment horizontal="right"/>
    </xf>
    <xf numFmtId="6" fontId="6" fillId="0" borderId="32" xfId="45" applyNumberFormat="1" applyFont="1" applyBorder="1" applyAlignment="1">
      <alignment/>
    </xf>
    <xf numFmtId="0" fontId="63" fillId="0" borderId="0" xfId="40" applyFont="1" applyAlignment="1">
      <alignment horizontal="left"/>
      <protection/>
    </xf>
    <xf numFmtId="6" fontId="64" fillId="0" borderId="0" xfId="45" applyNumberFormat="1" applyFont="1" applyAlignment="1">
      <alignment/>
    </xf>
    <xf numFmtId="0" fontId="64" fillId="0" borderId="0" xfId="0" applyFont="1" applyAlignment="1">
      <alignment/>
    </xf>
    <xf numFmtId="0" fontId="64" fillId="0" borderId="0" xfId="40" applyFont="1" applyAlignment="1">
      <alignment horizontal="center"/>
      <protection/>
    </xf>
    <xf numFmtId="0" fontId="65" fillId="0" borderId="0" xfId="40" applyFont="1" applyAlignment="1">
      <alignment horizontal="right"/>
      <protection/>
    </xf>
    <xf numFmtId="6" fontId="65" fillId="0" borderId="0" xfId="45" applyNumberFormat="1" applyFont="1" applyAlignment="1">
      <alignment/>
    </xf>
    <xf numFmtId="0" fontId="65" fillId="0" borderId="0" xfId="0" applyFont="1" applyAlignment="1">
      <alignment/>
    </xf>
    <xf numFmtId="0" fontId="65" fillId="0" borderId="0" xfId="0" applyFont="1" applyAlignment="1">
      <alignment/>
    </xf>
    <xf numFmtId="0" fontId="64" fillId="0" borderId="0" xfId="40" applyFont="1" applyAlignment="1">
      <alignment horizontal="right"/>
      <protection/>
    </xf>
    <xf numFmtId="6" fontId="64" fillId="0" borderId="0" xfId="45" applyNumberFormat="1" applyFont="1" applyAlignment="1">
      <alignment/>
    </xf>
    <xf numFmtId="0" fontId="64" fillId="0" borderId="0" xfId="0" applyFont="1" applyAlignment="1">
      <alignment/>
    </xf>
    <xf numFmtId="6" fontId="64" fillId="0" borderId="0" xfId="40" applyNumberFormat="1" applyFont="1">
      <alignment/>
      <protection/>
    </xf>
    <xf numFmtId="0" fontId="65" fillId="0" borderId="0" xfId="40" applyFont="1" applyAlignment="1">
      <alignment horizontal="center"/>
      <protection/>
    </xf>
    <xf numFmtId="6" fontId="64" fillId="0" borderId="0" xfId="0" applyNumberFormat="1"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5" fillId="0" borderId="0" xfId="0" applyFont="1" applyAlignment="1">
      <alignment/>
    </xf>
    <xf numFmtId="6" fontId="65" fillId="0" borderId="0" xfId="45" applyNumberFormat="1" applyFont="1" applyAlignment="1">
      <alignment/>
    </xf>
    <xf numFmtId="0" fontId="64" fillId="0" borderId="0" xfId="0" applyFont="1" applyAlignment="1">
      <alignment/>
    </xf>
    <xf numFmtId="6" fontId="64" fillId="0" borderId="0" xfId="45" applyNumberFormat="1" applyFont="1" applyAlignment="1">
      <alignment/>
    </xf>
    <xf numFmtId="0" fontId="66" fillId="0" borderId="0" xfId="0" applyFont="1" applyAlignment="1">
      <alignment/>
    </xf>
    <xf numFmtId="0" fontId="49" fillId="0" borderId="0" xfId="40" applyFont="1" applyBorder="1" applyAlignment="1">
      <alignment horizontal="right"/>
      <protection/>
    </xf>
    <xf numFmtId="3" fontId="67" fillId="0" borderId="10" xfId="40" applyNumberFormat="1" applyFont="1" applyBorder="1" applyAlignment="1" applyProtection="1">
      <alignment horizontal="center" vertical="center" wrapText="1"/>
      <protection/>
    </xf>
    <xf numFmtId="0" fontId="68" fillId="0" borderId="0" xfId="40" applyFont="1" applyAlignment="1">
      <alignment horizontal="right"/>
      <protection/>
    </xf>
    <xf numFmtId="0" fontId="49" fillId="0" borderId="0" xfId="40" applyFont="1" applyAlignment="1">
      <alignment horizontal="left"/>
      <protection/>
    </xf>
    <xf numFmtId="3" fontId="48" fillId="0" borderId="10" xfId="43" applyNumberFormat="1" applyFont="1" applyBorder="1" applyAlignment="1">
      <alignment horizontal="center" vertical="center" textRotation="90" wrapText="1"/>
    </xf>
    <xf numFmtId="4" fontId="6" fillId="0" borderId="0" xfId="45" applyNumberFormat="1" applyFont="1" applyBorder="1" applyAlignment="1">
      <alignment horizontal="right"/>
    </xf>
    <xf numFmtId="6" fontId="6" fillId="0" borderId="34" xfId="45" applyNumberFormat="1" applyFont="1" applyBorder="1" applyAlignment="1">
      <alignment/>
    </xf>
    <xf numFmtId="6" fontId="59" fillId="0" borderId="34" xfId="45" applyNumberFormat="1" applyFont="1" applyBorder="1" applyAlignment="1">
      <alignment/>
    </xf>
    <xf numFmtId="10" fontId="6" fillId="0" borderId="32" xfId="63" applyNumberFormat="1" applyFont="1" applyBorder="1" applyAlignment="1">
      <alignment/>
    </xf>
    <xf numFmtId="174" fontId="6" fillId="0" borderId="32" xfId="63" applyNumberFormat="1" applyFont="1" applyBorder="1" applyAlignment="1">
      <alignment/>
    </xf>
    <xf numFmtId="10" fontId="6" fillId="0" borderId="37" xfId="63" applyNumberFormat="1" applyFont="1" applyBorder="1" applyAlignment="1">
      <alignment/>
    </xf>
    <xf numFmtId="6" fontId="14" fillId="0" borderId="34" xfId="45" applyNumberFormat="1" applyFont="1" applyBorder="1" applyAlignment="1">
      <alignment/>
    </xf>
    <xf numFmtId="5" fontId="6" fillId="0" borderId="36" xfId="45" applyNumberFormat="1" applyFont="1" applyBorder="1" applyAlignment="1">
      <alignment/>
    </xf>
    <xf numFmtId="0" fontId="51" fillId="0" borderId="0" xfId="0" applyFont="1" applyAlignment="1">
      <alignment horizontal="left"/>
    </xf>
    <xf numFmtId="0" fontId="23" fillId="0" borderId="11" xfId="40" applyFont="1" applyBorder="1" applyAlignment="1">
      <alignment horizontal="right"/>
      <protection/>
    </xf>
    <xf numFmtId="0" fontId="23" fillId="0" borderId="0" xfId="40" applyFont="1" applyAlignment="1">
      <alignment horizontal="left"/>
      <protection/>
    </xf>
    <xf numFmtId="0" fontId="23" fillId="0" borderId="0" xfId="40" applyFont="1" applyBorder="1" applyAlignment="1">
      <alignment horizontal="left"/>
      <protection/>
    </xf>
    <xf numFmtId="0" fontId="23" fillId="0" borderId="0" xfId="0" applyFont="1" applyAlignment="1">
      <alignment horizontal="left"/>
    </xf>
    <xf numFmtId="174" fontId="13" fillId="0" borderId="0" xfId="0" applyNumberFormat="1" applyFont="1" applyAlignment="1">
      <alignment/>
    </xf>
    <xf numFmtId="8" fontId="13" fillId="0" borderId="0" xfId="40" applyNumberFormat="1" applyFont="1" applyFill="1">
      <alignment/>
      <protection/>
    </xf>
    <xf numFmtId="172" fontId="4" fillId="0" borderId="0" xfId="43" applyNumberFormat="1" applyFont="1" applyFill="1" applyAlignment="1">
      <alignment horizontal="center"/>
    </xf>
    <xf numFmtId="38" fontId="4" fillId="0" borderId="0" xfId="43" applyNumberFormat="1" applyFont="1" applyFill="1" applyAlignment="1">
      <alignment horizontal="center"/>
    </xf>
    <xf numFmtId="9" fontId="4" fillId="0" borderId="0" xfId="63" applyFont="1" applyFill="1" applyAlignment="1">
      <alignment horizontal="center"/>
    </xf>
    <xf numFmtId="0" fontId="76" fillId="0" borderId="10" xfId="40" applyFont="1" applyBorder="1" applyAlignment="1">
      <alignment horizontal="right" vertical="top" wrapText="1"/>
      <protection/>
    </xf>
    <xf numFmtId="0" fontId="41" fillId="0" borderId="10" xfId="40" applyFont="1" applyBorder="1" applyAlignment="1">
      <alignment horizontal="center" vertical="top" wrapText="1"/>
      <protection/>
    </xf>
    <xf numFmtId="3" fontId="41" fillId="0" borderId="10" xfId="40" applyNumberFormat="1" applyFont="1" applyBorder="1" applyAlignment="1" applyProtection="1">
      <alignment horizontal="center" vertical="top" wrapText="1"/>
      <protection/>
    </xf>
    <xf numFmtId="174" fontId="77" fillId="0" borderId="10" xfId="43" applyNumberFormat="1" applyFont="1" applyBorder="1" applyAlignment="1">
      <alignment horizontal="center" vertical="top" wrapText="1"/>
    </xf>
    <xf numFmtId="174" fontId="41" fillId="0" borderId="10" xfId="43" applyNumberFormat="1" applyFont="1" applyBorder="1" applyAlignment="1">
      <alignment horizontal="center" vertical="top" wrapText="1"/>
    </xf>
    <xf numFmtId="3" fontId="78" fillId="0" borderId="10" xfId="43" applyNumberFormat="1" applyFont="1" applyBorder="1" applyAlignment="1">
      <alignment horizontal="center" vertical="top" textRotation="90" wrapText="1"/>
    </xf>
    <xf numFmtId="3" fontId="41" fillId="0" borderId="10" xfId="43" applyNumberFormat="1" applyFont="1" applyBorder="1" applyAlignment="1">
      <alignment horizontal="center" vertical="top" wrapText="1"/>
    </xf>
    <xf numFmtId="6" fontId="41" fillId="0" borderId="10" xfId="45" applyNumberFormat="1" applyFont="1" applyBorder="1" applyAlignment="1">
      <alignment horizontal="center" vertical="top" wrapText="1"/>
    </xf>
    <xf numFmtId="5" fontId="41" fillId="0" borderId="10" xfId="45" applyNumberFormat="1" applyFont="1" applyBorder="1" applyAlignment="1">
      <alignment horizontal="center" vertical="top" wrapText="1"/>
    </xf>
    <xf numFmtId="0" fontId="32" fillId="36" borderId="0" xfId="40" applyFont="1" applyFill="1" applyAlignment="1">
      <alignment vertical="top" wrapText="1"/>
      <protection/>
    </xf>
    <xf numFmtId="0" fontId="31" fillId="0" borderId="0" xfId="40" applyFont="1" applyAlignment="1">
      <alignment vertical="top" wrapText="1"/>
      <protection/>
    </xf>
    <xf numFmtId="0" fontId="72" fillId="0" borderId="11" xfId="40" applyFont="1" applyBorder="1" applyAlignment="1">
      <alignment horizontal="right" vertical="top" wrapText="1"/>
      <protection/>
    </xf>
    <xf numFmtId="0" fontId="73" fillId="0" borderId="11" xfId="40" applyFont="1" applyBorder="1" applyAlignment="1">
      <alignment vertical="top" wrapText="1"/>
      <protection/>
    </xf>
    <xf numFmtId="3" fontId="73" fillId="0" borderId="11" xfId="40" applyNumberFormat="1" applyFont="1" applyBorder="1" applyAlignment="1" applyProtection="1">
      <alignment horizontal="right" vertical="top" wrapText="1"/>
      <protection/>
    </xf>
    <xf numFmtId="174" fontId="74" fillId="0" borderId="11" xfId="43" applyNumberFormat="1" applyFont="1" applyBorder="1" applyAlignment="1">
      <alignment vertical="top" wrapText="1"/>
    </xf>
    <xf numFmtId="174" fontId="73" fillId="0" borderId="11" xfId="43" applyNumberFormat="1" applyFont="1" applyBorder="1" applyAlignment="1">
      <alignment vertical="top" wrapText="1"/>
    </xf>
    <xf numFmtId="3" fontId="73" fillId="0" borderId="11" xfId="43" applyNumberFormat="1" applyFont="1" applyBorder="1" applyAlignment="1">
      <alignment vertical="top" wrapText="1"/>
    </xf>
    <xf numFmtId="6" fontId="41" fillId="0" borderId="11" xfId="45" applyNumberFormat="1" applyFont="1" applyBorder="1" applyAlignment="1">
      <alignment vertical="top" wrapText="1"/>
    </xf>
    <xf numFmtId="0" fontId="73" fillId="0" borderId="11" xfId="40" applyFont="1" applyBorder="1" applyAlignment="1">
      <alignment horizontal="center" vertical="top" wrapText="1"/>
      <protection/>
    </xf>
    <xf numFmtId="6" fontId="73" fillId="0" borderId="11" xfId="45" applyNumberFormat="1" applyFont="1" applyBorder="1" applyAlignment="1">
      <alignment vertical="top" wrapText="1"/>
    </xf>
    <xf numFmtId="5" fontId="73" fillId="0" borderId="11" xfId="45" applyNumberFormat="1" applyFont="1" applyBorder="1" applyAlignment="1">
      <alignment vertical="top" wrapText="1"/>
    </xf>
    <xf numFmtId="0" fontId="31" fillId="36" borderId="11" xfId="40" applyFont="1" applyFill="1" applyBorder="1" applyAlignment="1">
      <alignment vertical="top" wrapText="1"/>
      <protection/>
    </xf>
    <xf numFmtId="0" fontId="31" fillId="0" borderId="11" xfId="40" applyFont="1" applyBorder="1" applyAlignment="1">
      <alignment vertical="top" wrapText="1"/>
      <protection/>
    </xf>
    <xf numFmtId="0" fontId="41" fillId="0" borderId="12" xfId="40" applyFont="1" applyBorder="1" applyAlignment="1">
      <alignment horizontal="right" vertical="top" wrapText="1"/>
      <protection/>
    </xf>
    <xf numFmtId="0" fontId="73" fillId="0" borderId="12" xfId="40" applyFont="1" applyBorder="1" applyAlignment="1">
      <alignment vertical="top" wrapText="1"/>
      <protection/>
    </xf>
    <xf numFmtId="3" fontId="73" fillId="0" borderId="12" xfId="40" applyNumberFormat="1" applyFont="1" applyBorder="1" applyAlignment="1" applyProtection="1">
      <alignment horizontal="right" vertical="top" wrapText="1"/>
      <protection/>
    </xf>
    <xf numFmtId="174" fontId="74" fillId="0" borderId="12" xfId="43" applyNumberFormat="1" applyFont="1" applyBorder="1" applyAlignment="1">
      <alignment vertical="top" wrapText="1"/>
    </xf>
    <xf numFmtId="174" fontId="73" fillId="0" borderId="12" xfId="43" applyNumberFormat="1" applyFont="1" applyBorder="1" applyAlignment="1">
      <alignment vertical="top" wrapText="1"/>
    </xf>
    <xf numFmtId="3" fontId="73" fillId="0" borderId="12" xfId="43" applyNumberFormat="1" applyFont="1" applyBorder="1" applyAlignment="1">
      <alignment vertical="top" wrapText="1"/>
    </xf>
    <xf numFmtId="6" fontId="73" fillId="0" borderId="12" xfId="45" applyNumberFormat="1" applyFont="1" applyBorder="1" applyAlignment="1">
      <alignment vertical="top" wrapText="1"/>
    </xf>
    <xf numFmtId="0" fontId="73" fillId="0" borderId="12" xfId="40" applyFont="1" applyBorder="1" applyAlignment="1">
      <alignment horizontal="center" vertical="top" wrapText="1"/>
      <protection/>
    </xf>
    <xf numFmtId="5" fontId="73" fillId="0" borderId="12" xfId="45" applyNumberFormat="1" applyFont="1" applyBorder="1" applyAlignment="1">
      <alignment vertical="top" wrapText="1"/>
    </xf>
    <xf numFmtId="0" fontId="31" fillId="36" borderId="12" xfId="40" applyFont="1" applyFill="1" applyBorder="1" applyAlignment="1">
      <alignment vertical="top" wrapText="1"/>
      <protection/>
    </xf>
    <xf numFmtId="0" fontId="31" fillId="0" borderId="12" xfId="40" applyFont="1" applyBorder="1" applyAlignment="1">
      <alignment vertical="top" wrapText="1"/>
      <protection/>
    </xf>
    <xf numFmtId="0" fontId="76" fillId="0" borderId="0" xfId="40" applyFont="1" applyBorder="1" applyAlignment="1">
      <alignment horizontal="right" vertical="top" wrapText="1"/>
      <protection/>
    </xf>
    <xf numFmtId="0" fontId="73" fillId="0" borderId="0" xfId="40" applyFont="1" applyBorder="1" applyAlignment="1">
      <alignment vertical="top" wrapText="1"/>
      <protection/>
    </xf>
    <xf numFmtId="3" fontId="73" fillId="0" borderId="0" xfId="40" applyNumberFormat="1" applyFont="1" applyBorder="1" applyAlignment="1" applyProtection="1">
      <alignment horizontal="right" vertical="top" wrapText="1"/>
      <protection/>
    </xf>
    <xf numFmtId="174" fontId="74" fillId="0" borderId="0" xfId="43" applyNumberFormat="1" applyFont="1" applyBorder="1" applyAlignment="1">
      <alignment vertical="top" wrapText="1"/>
    </xf>
    <xf numFmtId="174" fontId="73" fillId="0" borderId="0" xfId="43" applyNumberFormat="1" applyFont="1" applyBorder="1" applyAlignment="1">
      <alignment vertical="top" wrapText="1"/>
    </xf>
    <xf numFmtId="3" fontId="73" fillId="0" borderId="0" xfId="43" applyNumberFormat="1" applyFont="1" applyBorder="1" applyAlignment="1">
      <alignment vertical="top" wrapText="1"/>
    </xf>
    <xf numFmtId="6" fontId="73" fillId="0" borderId="0" xfId="45" applyNumberFormat="1" applyFont="1" applyBorder="1" applyAlignment="1">
      <alignment vertical="top" wrapText="1"/>
    </xf>
    <xf numFmtId="0" fontId="73" fillId="0" borderId="0" xfId="40" applyFont="1" applyBorder="1" applyAlignment="1">
      <alignment horizontal="center" vertical="top" wrapText="1"/>
      <protection/>
    </xf>
    <xf numFmtId="5" fontId="73" fillId="0" borderId="0" xfId="45" applyNumberFormat="1" applyFont="1" applyBorder="1" applyAlignment="1">
      <alignment vertical="top" wrapText="1"/>
    </xf>
    <xf numFmtId="0" fontId="31" fillId="36" borderId="0" xfId="40" applyFont="1" applyFill="1" applyBorder="1" applyAlignment="1">
      <alignment vertical="top" wrapText="1"/>
      <protection/>
    </xf>
    <xf numFmtId="0" fontId="31" fillId="0" borderId="0" xfId="40" applyFont="1" applyBorder="1" applyAlignment="1">
      <alignment horizontal="right" vertical="top" wrapText="1"/>
      <protection/>
    </xf>
    <xf numFmtId="174" fontId="31" fillId="0" borderId="0" xfId="40" applyNumberFormat="1" applyFont="1" applyBorder="1" applyAlignment="1">
      <alignment vertical="top" wrapText="1"/>
      <protection/>
    </xf>
    <xf numFmtId="3" fontId="31" fillId="0" borderId="0" xfId="40" applyNumberFormat="1" applyFont="1" applyBorder="1" applyAlignment="1">
      <alignment vertical="top" wrapText="1"/>
      <protection/>
    </xf>
    <xf numFmtId="0" fontId="31" fillId="0" borderId="0" xfId="40" applyFont="1" applyBorder="1" applyAlignment="1">
      <alignment vertical="top" wrapText="1"/>
      <protection/>
    </xf>
    <xf numFmtId="0" fontId="31" fillId="0" borderId="0" xfId="40" applyFont="1" applyBorder="1" applyAlignment="1">
      <alignment horizontal="center" vertical="top" wrapText="1"/>
      <protection/>
    </xf>
    <xf numFmtId="6" fontId="73" fillId="0" borderId="0" xfId="40" applyNumberFormat="1" applyFont="1" applyAlignment="1">
      <alignment vertical="top" wrapText="1"/>
      <protection/>
    </xf>
    <xf numFmtId="3" fontId="73" fillId="0" borderId="0" xfId="40" applyNumberFormat="1" applyFont="1" applyAlignment="1" applyProtection="1">
      <alignment horizontal="right" vertical="top" wrapText="1"/>
      <protection/>
    </xf>
    <xf numFmtId="174" fontId="74" fillId="0" borderId="0" xfId="0" applyNumberFormat="1" applyFont="1" applyAlignment="1">
      <alignment vertical="top" wrapText="1"/>
    </xf>
    <xf numFmtId="174" fontId="73" fillId="0" borderId="0" xfId="43" applyNumberFormat="1" applyFont="1" applyAlignment="1">
      <alignment vertical="top" wrapText="1"/>
    </xf>
    <xf numFmtId="174" fontId="73" fillId="0" borderId="0" xfId="0" applyNumberFormat="1" applyFont="1" applyAlignment="1">
      <alignment vertical="top" wrapText="1"/>
    </xf>
    <xf numFmtId="3" fontId="73" fillId="0" borderId="0" xfId="0" applyNumberFormat="1" applyFont="1" applyAlignment="1">
      <alignment horizontal="center" vertical="top" wrapText="1"/>
    </xf>
    <xf numFmtId="174" fontId="73" fillId="0" borderId="0" xfId="0" applyNumberFormat="1" applyFont="1" applyAlignment="1">
      <alignment horizontal="right" vertical="top" wrapText="1"/>
    </xf>
    <xf numFmtId="6" fontId="73" fillId="0" borderId="0" xfId="45" applyNumberFormat="1" applyFont="1" applyAlignment="1">
      <alignment vertical="top" wrapText="1"/>
    </xf>
    <xf numFmtId="0" fontId="73" fillId="0" borderId="0" xfId="40" applyFont="1" applyAlignment="1">
      <alignment horizontal="center" vertical="top" wrapText="1"/>
      <protection/>
    </xf>
    <xf numFmtId="5" fontId="73" fillId="0" borderId="0" xfId="45" applyNumberFormat="1" applyFont="1" applyAlignment="1">
      <alignment vertical="top" wrapText="1"/>
    </xf>
    <xf numFmtId="5" fontId="41" fillId="0" borderId="0" xfId="45" applyNumberFormat="1" applyFont="1" applyAlignment="1">
      <alignment vertical="top" wrapText="1"/>
    </xf>
    <xf numFmtId="0" fontId="31" fillId="36" borderId="0" xfId="40" applyFont="1" applyFill="1" applyAlignment="1">
      <alignment vertical="top" wrapText="1"/>
      <protection/>
    </xf>
    <xf numFmtId="0" fontId="31" fillId="0" borderId="0" xfId="40" applyFont="1" applyAlignment="1">
      <alignment horizontal="right" vertical="top" wrapText="1"/>
      <protection/>
    </xf>
    <xf numFmtId="174" fontId="31" fillId="0" borderId="0" xfId="40" applyNumberFormat="1" applyFont="1" applyAlignment="1">
      <alignment vertical="top" wrapText="1"/>
      <protection/>
    </xf>
    <xf numFmtId="3" fontId="31" fillId="0" borderId="0" xfId="40" applyNumberFormat="1" applyFont="1" applyAlignment="1">
      <alignment vertical="top" wrapText="1"/>
      <protection/>
    </xf>
    <xf numFmtId="0" fontId="31" fillId="0" borderId="0" xfId="40" applyFont="1" applyAlignment="1">
      <alignment horizontal="center" vertical="top" wrapText="1"/>
      <protection/>
    </xf>
    <xf numFmtId="0" fontId="73" fillId="36" borderId="0" xfId="40" applyFont="1" applyFill="1" applyAlignment="1">
      <alignment vertical="top" wrapText="1"/>
      <protection/>
    </xf>
    <xf numFmtId="0" fontId="73" fillId="0" borderId="0" xfId="40" applyFont="1" applyAlignment="1">
      <alignment horizontal="right" vertical="top" wrapText="1"/>
      <protection/>
    </xf>
    <xf numFmtId="174" fontId="73" fillId="0" borderId="0" xfId="40" applyNumberFormat="1" applyFont="1" applyAlignment="1">
      <alignment vertical="top" wrapText="1"/>
      <protection/>
    </xf>
    <xf numFmtId="3" fontId="73" fillId="0" borderId="0" xfId="40" applyNumberFormat="1" applyFont="1" applyAlignment="1">
      <alignment vertical="top" wrapText="1"/>
      <protection/>
    </xf>
    <xf numFmtId="0" fontId="73" fillId="0" borderId="0" xfId="40" applyFont="1" applyAlignment="1">
      <alignment vertical="top" wrapText="1"/>
      <protection/>
    </xf>
    <xf numFmtId="38" fontId="73" fillId="0" borderId="0" xfId="43" applyNumberFormat="1" applyFont="1" applyAlignment="1">
      <alignment horizontal="right" vertical="top" wrapText="1"/>
    </xf>
    <xf numFmtId="174" fontId="74" fillId="0" borderId="0" xfId="43" applyNumberFormat="1" applyFont="1" applyAlignment="1">
      <alignment vertical="top" wrapText="1"/>
    </xf>
    <xf numFmtId="3" fontId="73" fillId="0" borderId="0" xfId="43" applyNumberFormat="1" applyFont="1" applyAlignment="1">
      <alignment horizontal="center" vertical="top" wrapText="1"/>
    </xf>
    <xf numFmtId="174" fontId="73" fillId="0" borderId="0" xfId="43" applyNumberFormat="1" applyFont="1" applyAlignment="1">
      <alignment horizontal="right" vertical="top" wrapText="1"/>
    </xf>
    <xf numFmtId="5" fontId="73" fillId="0" borderId="0" xfId="0" applyNumberFormat="1" applyFont="1" applyAlignment="1">
      <alignment vertical="top" wrapText="1"/>
    </xf>
    <xf numFmtId="3" fontId="73" fillId="0" borderId="0" xfId="43" applyNumberFormat="1" applyFont="1" applyAlignment="1">
      <alignment horizontal="right" vertical="top" wrapText="1"/>
    </xf>
    <xf numFmtId="3" fontId="41" fillId="0" borderId="0" xfId="43" applyNumberFormat="1" applyFont="1" applyAlignment="1">
      <alignment vertical="top" wrapText="1"/>
    </xf>
    <xf numFmtId="0" fontId="41" fillId="0" borderId="0" xfId="0" applyFont="1" applyAlignment="1">
      <alignment horizontal="right" vertical="top" wrapText="1"/>
    </xf>
    <xf numFmtId="6" fontId="41" fillId="0" borderId="0" xfId="0" applyNumberFormat="1" applyFont="1" applyAlignment="1">
      <alignment vertical="top" wrapText="1"/>
    </xf>
    <xf numFmtId="3" fontId="41" fillId="0" borderId="0" xfId="0" applyNumberFormat="1" applyFont="1" applyAlignment="1" applyProtection="1">
      <alignment horizontal="right" vertical="top" wrapText="1"/>
      <protection/>
    </xf>
    <xf numFmtId="174" fontId="77" fillId="0" borderId="0" xfId="0" applyNumberFormat="1" applyFont="1" applyAlignment="1">
      <alignment vertical="top" wrapText="1"/>
    </xf>
    <xf numFmtId="174" fontId="41" fillId="0" borderId="0" xfId="0" applyNumberFormat="1" applyFont="1" applyAlignment="1">
      <alignment vertical="top" wrapText="1"/>
    </xf>
    <xf numFmtId="3" fontId="41" fillId="0" borderId="0" xfId="0" applyNumberFormat="1" applyFont="1" applyAlignment="1">
      <alignment vertical="top" wrapText="1"/>
    </xf>
    <xf numFmtId="0" fontId="73" fillId="0" borderId="0" xfId="0" applyFont="1" applyAlignment="1">
      <alignment horizontal="center" vertical="top" wrapText="1"/>
    </xf>
    <xf numFmtId="0" fontId="31" fillId="36" borderId="0" xfId="0" applyFont="1" applyFill="1" applyAlignment="1">
      <alignment vertical="top" wrapText="1"/>
    </xf>
    <xf numFmtId="174" fontId="31" fillId="0" borderId="0" xfId="0" applyNumberFormat="1" applyFont="1" applyAlignment="1">
      <alignment vertical="top" wrapText="1"/>
    </xf>
    <xf numFmtId="0" fontId="31" fillId="0" borderId="0" xfId="0" applyFont="1" applyAlignment="1">
      <alignment vertical="top" wrapText="1"/>
    </xf>
    <xf numFmtId="0" fontId="31" fillId="0" borderId="0" xfId="0" applyFont="1" applyAlignment="1">
      <alignment horizontal="center" vertical="top" wrapText="1"/>
    </xf>
    <xf numFmtId="0" fontId="76" fillId="0" borderId="0" xfId="40" applyFont="1" applyAlignment="1">
      <alignment horizontal="right" vertical="top" wrapText="1"/>
      <protection/>
    </xf>
    <xf numFmtId="3" fontId="73" fillId="0" borderId="0" xfId="43" applyNumberFormat="1" applyFont="1" applyAlignment="1">
      <alignment vertical="top" wrapText="1"/>
    </xf>
    <xf numFmtId="0" fontId="41" fillId="0" borderId="0" xfId="40" applyFont="1" applyAlignment="1">
      <alignment horizontal="right" vertical="top" wrapText="1"/>
      <protection/>
    </xf>
    <xf numFmtId="6" fontId="41" fillId="0" borderId="0" xfId="45" applyNumberFormat="1" applyFont="1" applyAlignment="1">
      <alignment vertical="top" wrapText="1"/>
    </xf>
    <xf numFmtId="3" fontId="41" fillId="0" borderId="0" xfId="45" applyNumberFormat="1" applyFont="1" applyAlignment="1" applyProtection="1">
      <alignment horizontal="right" vertical="top" wrapText="1"/>
      <protection/>
    </xf>
    <xf numFmtId="174" fontId="77" fillId="0" borderId="0" xfId="45" applyNumberFormat="1" applyFont="1" applyAlignment="1">
      <alignment vertical="top" wrapText="1"/>
    </xf>
    <xf numFmtId="174" fontId="41" fillId="0" borderId="0" xfId="45" applyNumberFormat="1" applyFont="1" applyAlignment="1">
      <alignment vertical="top" wrapText="1"/>
    </xf>
    <xf numFmtId="3" fontId="41" fillId="0" borderId="0" xfId="45" applyNumberFormat="1" applyFont="1" applyAlignment="1">
      <alignment vertical="top" wrapText="1"/>
    </xf>
    <xf numFmtId="5" fontId="41" fillId="0" borderId="0" xfId="0" applyNumberFormat="1" applyFont="1" applyAlignment="1">
      <alignment vertical="top" wrapText="1"/>
    </xf>
    <xf numFmtId="0" fontId="41" fillId="0" borderId="0" xfId="40" applyFont="1" applyAlignment="1">
      <alignment horizontal="left" vertical="top" wrapText="1"/>
      <protection/>
    </xf>
    <xf numFmtId="5" fontId="79" fillId="0" borderId="0" xfId="40" applyNumberFormat="1" applyFont="1" applyAlignment="1">
      <alignment vertical="top" wrapText="1"/>
      <protection/>
    </xf>
    <xf numFmtId="3" fontId="79" fillId="0" borderId="0" xfId="40" applyNumberFormat="1" applyFont="1" applyAlignment="1" applyProtection="1">
      <alignment horizontal="right" vertical="top" wrapText="1"/>
      <protection/>
    </xf>
    <xf numFmtId="174" fontId="77" fillId="0" borderId="0" xfId="40" applyNumberFormat="1" applyFont="1" applyAlignment="1">
      <alignment vertical="top" wrapText="1"/>
      <protection/>
    </xf>
    <xf numFmtId="174" fontId="79" fillId="0" borderId="0" xfId="40" applyNumberFormat="1" applyFont="1" applyAlignment="1">
      <alignment vertical="top" wrapText="1"/>
      <protection/>
    </xf>
    <xf numFmtId="174" fontId="41" fillId="0" borderId="0" xfId="40" applyNumberFormat="1" applyFont="1" applyAlignment="1">
      <alignment vertical="top" wrapText="1"/>
      <protection/>
    </xf>
    <xf numFmtId="3" fontId="41" fillId="0" borderId="0" xfId="40" applyNumberFormat="1" applyFont="1" applyAlignment="1">
      <alignment vertical="top" wrapText="1"/>
      <protection/>
    </xf>
    <xf numFmtId="5" fontId="41" fillId="0" borderId="0" xfId="40" applyNumberFormat="1" applyFont="1" applyAlignment="1">
      <alignment vertical="top" wrapText="1"/>
      <protection/>
    </xf>
    <xf numFmtId="0" fontId="41" fillId="0" borderId="0" xfId="40" applyFont="1" applyAlignment="1">
      <alignment horizontal="center" vertical="top" wrapText="1"/>
      <protection/>
    </xf>
    <xf numFmtId="0" fontId="79" fillId="36" borderId="0" xfId="40" applyFont="1" applyFill="1" applyAlignment="1">
      <alignment vertical="top" wrapText="1"/>
      <protection/>
    </xf>
    <xf numFmtId="0" fontId="79" fillId="0" borderId="0" xfId="40" applyFont="1" applyAlignment="1">
      <alignment vertical="top" wrapText="1"/>
      <protection/>
    </xf>
    <xf numFmtId="0" fontId="79" fillId="0" borderId="0" xfId="40" applyFont="1" applyAlignment="1">
      <alignment horizontal="center" vertical="top" wrapText="1"/>
      <protection/>
    </xf>
    <xf numFmtId="174" fontId="74" fillId="0" borderId="0" xfId="40" applyNumberFormat="1" applyFont="1" applyAlignment="1" applyProtection="1">
      <alignment horizontal="right" vertical="top" wrapText="1"/>
      <protection/>
    </xf>
    <xf numFmtId="3" fontId="73" fillId="0" borderId="0" xfId="40" applyNumberFormat="1" applyFont="1" applyAlignment="1" applyProtection="1">
      <alignment horizontal="center" vertical="top" wrapText="1"/>
      <protection/>
    </xf>
    <xf numFmtId="6" fontId="73" fillId="0" borderId="0" xfId="40" applyNumberFormat="1" applyFont="1" applyFill="1" applyAlignment="1">
      <alignment vertical="top" wrapText="1"/>
      <protection/>
    </xf>
    <xf numFmtId="174" fontId="73" fillId="0" borderId="0" xfId="40" applyNumberFormat="1" applyFont="1" applyAlignment="1" applyProtection="1">
      <alignment horizontal="right" vertical="top" wrapText="1"/>
      <protection/>
    </xf>
    <xf numFmtId="6" fontId="31" fillId="0" borderId="0" xfId="40" applyNumberFormat="1" applyFont="1" applyFill="1" applyAlignment="1">
      <alignment vertical="top" wrapText="1"/>
      <protection/>
    </xf>
    <xf numFmtId="3" fontId="31" fillId="0" borderId="0" xfId="40" applyNumberFormat="1" applyFont="1" applyAlignment="1" applyProtection="1">
      <alignment horizontal="right" vertical="top" wrapText="1"/>
      <protection/>
    </xf>
    <xf numFmtId="174" fontId="31" fillId="0" borderId="0" xfId="40" applyNumberFormat="1" applyFont="1" applyAlignment="1" applyProtection="1">
      <alignment horizontal="right" vertical="top" wrapText="1"/>
      <protection/>
    </xf>
    <xf numFmtId="174" fontId="31" fillId="0" borderId="0" xfId="43" applyNumberFormat="1" applyFont="1" applyAlignment="1">
      <alignment vertical="top" wrapText="1"/>
    </xf>
    <xf numFmtId="3" fontId="31" fillId="0" borderId="0" xfId="43" applyNumberFormat="1" applyFont="1" applyAlignment="1">
      <alignment horizontal="center" vertical="top" wrapText="1"/>
    </xf>
    <xf numFmtId="174" fontId="31" fillId="0" borderId="0" xfId="43" applyNumberFormat="1" applyFont="1" applyAlignment="1">
      <alignment horizontal="right" vertical="top" wrapText="1"/>
    </xf>
    <xf numFmtId="6" fontId="31" fillId="0" borderId="0" xfId="45" applyNumberFormat="1" applyFont="1" applyAlignment="1">
      <alignment vertical="top" wrapText="1"/>
    </xf>
    <xf numFmtId="5" fontId="31" fillId="0" borderId="0" xfId="0" applyNumberFormat="1" applyFont="1" applyAlignment="1">
      <alignment vertical="top" wrapText="1"/>
    </xf>
    <xf numFmtId="5" fontId="32" fillId="0" borderId="0" xfId="45" applyNumberFormat="1" applyFont="1" applyAlignment="1">
      <alignment vertical="top" wrapText="1"/>
    </xf>
    <xf numFmtId="6" fontId="41" fillId="0" borderId="0" xfId="40" applyNumberFormat="1" applyFont="1" applyFill="1" applyAlignment="1">
      <alignment vertical="top" wrapText="1"/>
      <protection/>
    </xf>
    <xf numFmtId="3" fontId="41" fillId="0" borderId="0" xfId="40" applyNumberFormat="1" applyFont="1" applyAlignment="1" applyProtection="1">
      <alignment horizontal="right" vertical="top" wrapText="1"/>
      <protection/>
    </xf>
    <xf numFmtId="174" fontId="77" fillId="0" borderId="0" xfId="43" applyNumberFormat="1" applyFont="1" applyAlignment="1">
      <alignment vertical="top" wrapText="1"/>
    </xf>
    <xf numFmtId="174" fontId="41" fillId="0" borderId="0" xfId="43" applyNumberFormat="1" applyFont="1" applyAlignment="1">
      <alignment vertical="top" wrapText="1"/>
    </xf>
    <xf numFmtId="174" fontId="32" fillId="0" borderId="0" xfId="40" applyNumberFormat="1" applyFont="1" applyAlignment="1">
      <alignment vertical="top" wrapText="1"/>
      <protection/>
    </xf>
    <xf numFmtId="3" fontId="32" fillId="0" borderId="0" xfId="40" applyNumberFormat="1" applyFont="1" applyAlignment="1">
      <alignment vertical="top" wrapText="1"/>
      <protection/>
    </xf>
    <xf numFmtId="0" fontId="32" fillId="0" borderId="0" xfId="40" applyFont="1" applyAlignment="1">
      <alignment vertical="top" wrapText="1"/>
      <protection/>
    </xf>
    <xf numFmtId="6" fontId="41" fillId="0" borderId="0" xfId="40" applyNumberFormat="1" applyFont="1" applyAlignment="1">
      <alignment vertical="top" wrapText="1"/>
      <protection/>
    </xf>
    <xf numFmtId="0" fontId="72" fillId="0" borderId="0" xfId="40" applyFont="1" applyAlignment="1">
      <alignment horizontal="left" vertical="top" wrapText="1"/>
      <protection/>
    </xf>
    <xf numFmtId="0" fontId="40" fillId="0" borderId="0" xfId="40" applyFont="1" applyAlignment="1">
      <alignment horizontal="center" vertical="top" wrapText="1"/>
      <protection/>
    </xf>
    <xf numFmtId="0" fontId="40" fillId="0" borderId="0" xfId="40" applyFont="1" applyBorder="1" applyAlignment="1">
      <alignment horizontal="right" vertical="top" wrapText="1"/>
      <protection/>
    </xf>
    <xf numFmtId="3" fontId="41" fillId="0" borderId="0" xfId="43" applyNumberFormat="1" applyFont="1" applyAlignment="1">
      <alignment horizontal="center" vertical="top" wrapText="1"/>
    </xf>
    <xf numFmtId="0" fontId="40" fillId="0" borderId="0" xfId="40" applyFont="1" applyBorder="1" applyAlignment="1">
      <alignment horizontal="left" vertical="top" wrapText="1"/>
      <protection/>
    </xf>
    <xf numFmtId="0" fontId="40" fillId="0" borderId="0" xfId="40" applyFont="1" applyAlignment="1">
      <alignment horizontal="right" vertical="top" wrapText="1"/>
      <protection/>
    </xf>
    <xf numFmtId="6" fontId="73" fillId="0" borderId="12" xfId="40" applyNumberFormat="1" applyFont="1" applyBorder="1" applyAlignment="1">
      <alignment vertical="top" wrapText="1"/>
      <protection/>
    </xf>
    <xf numFmtId="174" fontId="77" fillId="0" borderId="12" xfId="43" applyNumberFormat="1" applyFont="1" applyBorder="1" applyAlignment="1">
      <alignment vertical="top" wrapText="1"/>
    </xf>
    <xf numFmtId="174" fontId="41" fillId="0" borderId="12" xfId="0" applyNumberFormat="1" applyFont="1" applyBorder="1" applyAlignment="1">
      <alignment vertical="top" wrapText="1"/>
    </xf>
    <xf numFmtId="3" fontId="73" fillId="0" borderId="12" xfId="43" applyNumberFormat="1" applyFont="1" applyBorder="1" applyAlignment="1">
      <alignment horizontal="center" vertical="top" wrapText="1"/>
    </xf>
    <xf numFmtId="3" fontId="41" fillId="0" borderId="12" xfId="43" applyNumberFormat="1" applyFont="1" applyBorder="1" applyAlignment="1">
      <alignment horizontal="center" vertical="top" wrapText="1"/>
    </xf>
    <xf numFmtId="6" fontId="41" fillId="0" borderId="12" xfId="45" applyNumberFormat="1" applyFont="1" applyBorder="1" applyAlignment="1">
      <alignment vertical="top" wrapText="1"/>
    </xf>
    <xf numFmtId="5" fontId="41" fillId="0" borderId="12" xfId="45" applyNumberFormat="1" applyFont="1" applyBorder="1" applyAlignment="1">
      <alignment vertical="top" wrapText="1"/>
    </xf>
    <xf numFmtId="0" fontId="32" fillId="36" borderId="12" xfId="40" applyFont="1" applyFill="1" applyBorder="1" applyAlignment="1">
      <alignment vertical="top" wrapText="1"/>
      <protection/>
    </xf>
    <xf numFmtId="0" fontId="32" fillId="0" borderId="12" xfId="40" applyFont="1" applyBorder="1" applyAlignment="1">
      <alignment vertical="top" wrapText="1"/>
      <protection/>
    </xf>
    <xf numFmtId="0" fontId="80" fillId="0" borderId="0" xfId="40" applyFont="1" applyBorder="1" applyAlignment="1">
      <alignment horizontal="left" vertical="top" wrapText="1"/>
      <protection/>
    </xf>
    <xf numFmtId="174" fontId="73" fillId="37" borderId="0" xfId="0" applyNumberFormat="1" applyFont="1" applyFill="1" applyAlignment="1">
      <alignment vertical="top" wrapText="1"/>
    </xf>
    <xf numFmtId="3" fontId="73" fillId="0" borderId="0" xfId="43" applyNumberFormat="1" applyFont="1" applyAlignment="1" applyProtection="1">
      <alignment horizontal="right" vertical="top" wrapText="1"/>
      <protection/>
    </xf>
    <xf numFmtId="6" fontId="73" fillId="37" borderId="0" xfId="40" applyNumberFormat="1" applyFont="1" applyFill="1" applyAlignment="1">
      <alignment vertical="top" wrapText="1"/>
      <protection/>
    </xf>
    <xf numFmtId="174" fontId="74" fillId="0" borderId="0" xfId="63" applyNumberFormat="1" applyFont="1" applyAlignment="1">
      <alignment vertical="top" wrapText="1"/>
    </xf>
    <xf numFmtId="3" fontId="73" fillId="0" borderId="0" xfId="63" applyNumberFormat="1" applyFont="1" applyAlignment="1">
      <alignment horizontal="center" vertical="top" wrapText="1"/>
    </xf>
    <xf numFmtId="174" fontId="73" fillId="0" borderId="0" xfId="63" applyNumberFormat="1" applyFont="1" applyAlignment="1">
      <alignment horizontal="right" vertical="top" wrapText="1"/>
    </xf>
    <xf numFmtId="174" fontId="73" fillId="0" borderId="0" xfId="63" applyNumberFormat="1" applyFont="1" applyAlignment="1">
      <alignment vertical="top" wrapText="1"/>
    </xf>
    <xf numFmtId="6" fontId="41" fillId="37" borderId="0" xfId="40" applyNumberFormat="1" applyFont="1" applyFill="1" applyAlignment="1">
      <alignment vertical="top" wrapText="1"/>
      <protection/>
    </xf>
    <xf numFmtId="0" fontId="41" fillId="0" borderId="0" xfId="40" applyFont="1" applyBorder="1" applyAlignment="1">
      <alignment vertical="top" wrapText="1"/>
      <protection/>
    </xf>
    <xf numFmtId="0" fontId="41" fillId="0" borderId="0" xfId="40" applyFont="1" applyAlignment="1">
      <alignment vertical="top" wrapText="1"/>
      <protection/>
    </xf>
    <xf numFmtId="174" fontId="73" fillId="0" borderId="0" xfId="0" applyNumberFormat="1" applyFont="1" applyAlignment="1">
      <alignment horizontal="center" vertical="top" wrapText="1"/>
    </xf>
    <xf numFmtId="174" fontId="77" fillId="0" borderId="0" xfId="63" applyNumberFormat="1" applyFont="1" applyAlignment="1">
      <alignment vertical="top" wrapText="1"/>
    </xf>
    <xf numFmtId="174" fontId="41" fillId="0" borderId="0" xfId="63" applyNumberFormat="1" applyFont="1" applyAlignment="1">
      <alignment vertical="top" wrapText="1"/>
    </xf>
    <xf numFmtId="0" fontId="76" fillId="0" borderId="0" xfId="40" applyFont="1" applyAlignment="1">
      <alignment horizontal="left" vertical="top" wrapText="1"/>
      <protection/>
    </xf>
    <xf numFmtId="0" fontId="72" fillId="0" borderId="0" xfId="40" applyFont="1" applyBorder="1" applyAlignment="1">
      <alignment horizontal="left" vertical="top" wrapText="1"/>
      <protection/>
    </xf>
    <xf numFmtId="6" fontId="73" fillId="0" borderId="0" xfId="40" applyNumberFormat="1" applyFont="1" applyBorder="1" applyAlignment="1">
      <alignment horizontal="left" vertical="top" wrapText="1"/>
      <protection/>
    </xf>
    <xf numFmtId="174" fontId="74" fillId="0" borderId="0" xfId="43" applyNumberFormat="1" applyFont="1" applyBorder="1" applyAlignment="1">
      <alignment horizontal="left" vertical="top" wrapText="1"/>
    </xf>
    <xf numFmtId="174" fontId="73" fillId="0" borderId="0" xfId="43" applyNumberFormat="1" applyFont="1" applyBorder="1" applyAlignment="1">
      <alignment horizontal="left" vertical="top" wrapText="1"/>
    </xf>
    <xf numFmtId="3" fontId="73" fillId="0" borderId="0" xfId="43" applyNumberFormat="1" applyFont="1" applyBorder="1" applyAlignment="1">
      <alignment horizontal="left" vertical="top" wrapText="1"/>
    </xf>
    <xf numFmtId="6" fontId="73" fillId="0" borderId="0" xfId="45" applyNumberFormat="1" applyFont="1" applyBorder="1" applyAlignment="1">
      <alignment horizontal="left" vertical="top" wrapText="1"/>
    </xf>
    <xf numFmtId="0" fontId="73" fillId="0" borderId="0" xfId="40" applyFont="1" applyBorder="1" applyAlignment="1">
      <alignment horizontal="left" vertical="top" wrapText="1"/>
      <protection/>
    </xf>
    <xf numFmtId="5" fontId="73" fillId="0" borderId="0" xfId="45" applyNumberFormat="1" applyFont="1" applyBorder="1" applyAlignment="1">
      <alignment horizontal="left" vertical="top" wrapText="1"/>
    </xf>
    <xf numFmtId="0" fontId="41" fillId="0" borderId="28" xfId="40" applyFont="1" applyBorder="1" applyAlignment="1">
      <alignment horizontal="right" vertical="top" wrapText="1"/>
      <protection/>
    </xf>
    <xf numFmtId="6" fontId="73" fillId="0" borderId="28" xfId="40" applyNumberFormat="1" applyFont="1" applyBorder="1" applyAlignment="1">
      <alignment vertical="top" wrapText="1"/>
      <protection/>
    </xf>
    <xf numFmtId="3" fontId="73" fillId="0" borderId="28" xfId="40" applyNumberFormat="1" applyFont="1" applyBorder="1" applyAlignment="1" applyProtection="1">
      <alignment horizontal="right" vertical="top" wrapText="1"/>
      <protection/>
    </xf>
    <xf numFmtId="174" fontId="74" fillId="0" borderId="28" xfId="43" applyNumberFormat="1" applyFont="1" applyBorder="1" applyAlignment="1">
      <alignment vertical="top" wrapText="1"/>
    </xf>
    <xf numFmtId="174" fontId="73" fillId="0" borderId="28" xfId="43" applyNumberFormat="1" applyFont="1" applyBorder="1" applyAlignment="1">
      <alignment vertical="top" wrapText="1"/>
    </xf>
    <xf numFmtId="174" fontId="41" fillId="0" borderId="28" xfId="43" applyNumberFormat="1" applyFont="1" applyBorder="1" applyAlignment="1">
      <alignment vertical="top" wrapText="1"/>
    </xf>
    <xf numFmtId="3" fontId="73" fillId="0" borderId="28" xfId="43" applyNumberFormat="1" applyFont="1" applyBorder="1" applyAlignment="1">
      <alignment vertical="top" wrapText="1"/>
    </xf>
    <xf numFmtId="6" fontId="73" fillId="0" borderId="28" xfId="45" applyNumberFormat="1" applyFont="1" applyBorder="1" applyAlignment="1">
      <alignment vertical="top" wrapText="1"/>
    </xf>
    <xf numFmtId="0" fontId="73" fillId="0" borderId="28" xfId="40" applyFont="1" applyBorder="1" applyAlignment="1">
      <alignment horizontal="center" vertical="top" wrapText="1"/>
      <protection/>
    </xf>
    <xf numFmtId="5" fontId="73" fillId="0" borderId="28" xfId="45" applyNumberFormat="1" applyFont="1" applyBorder="1" applyAlignment="1">
      <alignment vertical="top" wrapText="1"/>
    </xf>
    <xf numFmtId="174" fontId="73" fillId="0" borderId="0" xfId="45" applyNumberFormat="1" applyFont="1" applyAlignment="1">
      <alignment horizontal="right" vertical="top" wrapText="1"/>
    </xf>
    <xf numFmtId="0" fontId="73" fillId="0" borderId="0" xfId="0" applyFont="1" applyAlignment="1">
      <alignment vertical="top" wrapText="1"/>
    </xf>
    <xf numFmtId="174" fontId="41" fillId="0" borderId="0" xfId="43" applyNumberFormat="1" applyFont="1" applyAlignment="1">
      <alignment horizontal="right" vertical="top" wrapText="1"/>
    </xf>
    <xf numFmtId="174" fontId="73" fillId="0" borderId="28" xfId="43" applyNumberFormat="1" applyFont="1" applyBorder="1" applyAlignment="1">
      <alignment horizontal="right" vertical="top" wrapText="1"/>
    </xf>
    <xf numFmtId="6" fontId="41" fillId="0" borderId="28" xfId="45" applyNumberFormat="1" applyFont="1" applyBorder="1" applyAlignment="1">
      <alignment vertical="top" wrapText="1"/>
    </xf>
    <xf numFmtId="0" fontId="31" fillId="36" borderId="0" xfId="40" applyFont="1" applyFill="1" applyBorder="1" applyAlignment="1">
      <alignment horizontal="left" vertical="top" wrapText="1"/>
      <protection/>
    </xf>
    <xf numFmtId="174" fontId="31" fillId="0" borderId="0" xfId="40" applyNumberFormat="1" applyFont="1" applyBorder="1" applyAlignment="1">
      <alignment horizontal="left" vertical="top" wrapText="1"/>
      <protection/>
    </xf>
    <xf numFmtId="3" fontId="31" fillId="0" borderId="0" xfId="40" applyNumberFormat="1" applyFont="1" applyBorder="1" applyAlignment="1">
      <alignment horizontal="left" vertical="top" wrapText="1"/>
      <protection/>
    </xf>
    <xf numFmtId="0" fontId="31" fillId="0" borderId="0" xfId="40" applyFont="1" applyBorder="1" applyAlignment="1">
      <alignment horizontal="left" vertical="top" wrapText="1"/>
      <protection/>
    </xf>
    <xf numFmtId="6" fontId="73" fillId="0" borderId="0" xfId="40" applyNumberFormat="1" applyFont="1" applyBorder="1" applyAlignment="1">
      <alignment vertical="top" wrapText="1"/>
      <protection/>
    </xf>
    <xf numFmtId="174" fontId="41" fillId="0" borderId="0" xfId="43" applyNumberFormat="1" applyFont="1" applyBorder="1" applyAlignment="1">
      <alignment vertical="top" wrapText="1"/>
    </xf>
    <xf numFmtId="174" fontId="73" fillId="0" borderId="0" xfId="43" applyNumberFormat="1" applyFont="1" applyBorder="1" applyAlignment="1">
      <alignment horizontal="right" vertical="top" wrapText="1"/>
    </xf>
    <xf numFmtId="0" fontId="31" fillId="36" borderId="28" xfId="40" applyFont="1" applyFill="1" applyBorder="1" applyAlignment="1">
      <alignment vertical="top" wrapText="1"/>
      <protection/>
    </xf>
    <xf numFmtId="0" fontId="31" fillId="0" borderId="28" xfId="40" applyFont="1" applyBorder="1" applyAlignment="1">
      <alignment vertical="top" wrapText="1"/>
      <protection/>
    </xf>
    <xf numFmtId="174" fontId="74" fillId="0" borderId="28" xfId="40" applyNumberFormat="1" applyFont="1" applyBorder="1" applyAlignment="1">
      <alignment vertical="top" wrapText="1"/>
      <protection/>
    </xf>
    <xf numFmtId="174" fontId="73" fillId="0" borderId="28" xfId="40" applyNumberFormat="1" applyFont="1" applyBorder="1" applyAlignment="1">
      <alignment vertical="top" wrapText="1"/>
      <protection/>
    </xf>
    <xf numFmtId="174" fontId="41" fillId="0" borderId="28" xfId="40" applyNumberFormat="1" applyFont="1" applyBorder="1" applyAlignment="1">
      <alignment vertical="top" wrapText="1"/>
      <protection/>
    </xf>
    <xf numFmtId="174" fontId="73" fillId="0" borderId="28" xfId="40" applyNumberFormat="1" applyFont="1" applyBorder="1" applyAlignment="1">
      <alignment horizontal="right" vertical="top" wrapText="1"/>
      <protection/>
    </xf>
    <xf numFmtId="6" fontId="41" fillId="0" borderId="28" xfId="40" applyNumberFormat="1" applyFont="1" applyBorder="1" applyAlignment="1">
      <alignment vertical="top" wrapText="1"/>
      <protection/>
    </xf>
    <xf numFmtId="5" fontId="73" fillId="0" borderId="28" xfId="40" applyNumberFormat="1" applyFont="1" applyBorder="1" applyAlignment="1">
      <alignment vertical="top" wrapText="1"/>
      <protection/>
    </xf>
    <xf numFmtId="0" fontId="41" fillId="0" borderId="0" xfId="40" applyFont="1" applyBorder="1" applyAlignment="1">
      <alignment horizontal="right" vertical="top" wrapText="1"/>
      <protection/>
    </xf>
    <xf numFmtId="174" fontId="74" fillId="0" borderId="0" xfId="40" applyNumberFormat="1" applyFont="1" applyBorder="1" applyAlignment="1">
      <alignment vertical="top" wrapText="1"/>
      <protection/>
    </xf>
    <xf numFmtId="174" fontId="73" fillId="0" borderId="0" xfId="40" applyNumberFormat="1" applyFont="1" applyBorder="1" applyAlignment="1">
      <alignment vertical="top" wrapText="1"/>
      <protection/>
    </xf>
    <xf numFmtId="174" fontId="73" fillId="0" borderId="0" xfId="40" applyNumberFormat="1" applyFont="1" applyBorder="1" applyAlignment="1">
      <alignment horizontal="right" vertical="top" wrapText="1"/>
      <protection/>
    </xf>
    <xf numFmtId="6" fontId="41" fillId="0" borderId="0" xfId="40" applyNumberFormat="1" applyFont="1" applyBorder="1" applyAlignment="1">
      <alignment vertical="top" wrapText="1"/>
      <protection/>
    </xf>
    <xf numFmtId="5" fontId="73" fillId="0" borderId="0" xfId="40" applyNumberFormat="1" applyFont="1" applyBorder="1" applyAlignment="1">
      <alignment vertical="top" wrapText="1"/>
      <protection/>
    </xf>
    <xf numFmtId="3" fontId="73" fillId="0" borderId="0" xfId="40" applyNumberFormat="1" applyFont="1" applyBorder="1" applyAlignment="1">
      <alignment horizontal="right" vertical="top" wrapText="1"/>
      <protection/>
    </xf>
    <xf numFmtId="174" fontId="74" fillId="0" borderId="0" xfId="40" applyNumberFormat="1" applyFont="1" applyBorder="1" applyAlignment="1">
      <alignment horizontal="right" vertical="top" wrapText="1"/>
      <protection/>
    </xf>
    <xf numFmtId="3" fontId="40" fillId="0" borderId="0" xfId="43" applyNumberFormat="1" applyFont="1" applyAlignment="1">
      <alignment vertical="top" wrapText="1"/>
    </xf>
    <xf numFmtId="0" fontId="73" fillId="0" borderId="29" xfId="40" applyFont="1" applyBorder="1" applyAlignment="1">
      <alignment horizontal="right" vertical="top" wrapText="1"/>
      <protection/>
    </xf>
    <xf numFmtId="0" fontId="73" fillId="0" borderId="29" xfId="40" applyFont="1" applyBorder="1" applyAlignment="1">
      <alignment horizontal="center" vertical="top" wrapText="1"/>
      <protection/>
    </xf>
    <xf numFmtId="3" fontId="73" fillId="0" borderId="29" xfId="40" applyNumberFormat="1" applyFont="1" applyBorder="1" applyAlignment="1" applyProtection="1">
      <alignment horizontal="right" vertical="top" wrapText="1"/>
      <protection/>
    </xf>
    <xf numFmtId="174" fontId="74" fillId="0" borderId="29" xfId="40" applyNumberFormat="1" applyFont="1" applyBorder="1" applyAlignment="1">
      <alignment horizontal="center" vertical="top" wrapText="1"/>
      <protection/>
    </xf>
    <xf numFmtId="174" fontId="73" fillId="0" borderId="29" xfId="40" applyNumberFormat="1" applyFont="1" applyBorder="1" applyAlignment="1">
      <alignment horizontal="center" vertical="top" wrapText="1"/>
      <protection/>
    </xf>
    <xf numFmtId="5" fontId="73" fillId="0" borderId="29" xfId="40" applyNumberFormat="1" applyFont="1" applyBorder="1" applyAlignment="1">
      <alignment horizontal="center" vertical="top" wrapText="1"/>
      <protection/>
    </xf>
    <xf numFmtId="0" fontId="72" fillId="0" borderId="0" xfId="0" applyFont="1" applyAlignment="1">
      <alignment horizontal="left" vertical="top" wrapText="1"/>
    </xf>
    <xf numFmtId="0" fontId="81" fillId="0" borderId="0" xfId="0" applyFont="1" applyAlignment="1">
      <alignment vertical="top" wrapText="1"/>
    </xf>
    <xf numFmtId="3" fontId="81" fillId="0" borderId="0" xfId="0" applyNumberFormat="1" applyFont="1" applyAlignment="1" applyProtection="1">
      <alignment horizontal="right" vertical="top" wrapText="1"/>
      <protection/>
    </xf>
    <xf numFmtId="174" fontId="81" fillId="0" borderId="0" xfId="0" applyNumberFormat="1" applyFont="1" applyAlignment="1">
      <alignment vertical="top" wrapText="1"/>
    </xf>
    <xf numFmtId="3" fontId="73" fillId="0" borderId="0" xfId="0" applyNumberFormat="1" applyFont="1" applyAlignment="1">
      <alignment vertical="top" wrapText="1"/>
    </xf>
    <xf numFmtId="3" fontId="31" fillId="0" borderId="0" xfId="43" applyNumberFormat="1" applyFont="1" applyAlignment="1">
      <alignment vertical="top" wrapText="1"/>
    </xf>
    <xf numFmtId="5" fontId="31" fillId="0" borderId="0" xfId="45" applyNumberFormat="1" applyFont="1" applyAlignment="1">
      <alignment vertical="top" wrapText="1"/>
    </xf>
    <xf numFmtId="49" fontId="73" fillId="0" borderId="0" xfId="40" applyNumberFormat="1" applyFont="1" applyFill="1" applyBorder="1" applyAlignment="1" applyProtection="1">
      <alignment horizontal="right" vertical="top" wrapText="1"/>
      <protection/>
    </xf>
    <xf numFmtId="49" fontId="73" fillId="0" borderId="0" xfId="40" applyNumberFormat="1" applyFont="1" applyFill="1" applyBorder="1" applyAlignment="1" applyProtection="1">
      <alignment horizontal="center" vertical="top" wrapText="1"/>
      <protection/>
    </xf>
    <xf numFmtId="0" fontId="75" fillId="0" borderId="0" xfId="40" applyFont="1" applyFill="1" applyBorder="1" applyAlignment="1">
      <alignment horizontal="left" vertical="top" wrapText="1"/>
      <protection/>
    </xf>
    <xf numFmtId="9" fontId="75" fillId="0" borderId="0" xfId="40" applyNumberFormat="1" applyFont="1" applyFill="1" applyBorder="1" applyAlignment="1">
      <alignment horizontal="left" vertical="top" wrapText="1"/>
      <protection/>
    </xf>
    <xf numFmtId="0" fontId="73" fillId="0" borderId="0" xfId="40" applyFont="1" applyBorder="1" applyAlignment="1">
      <alignment horizontal="right" vertical="top" wrapText="1"/>
      <protection/>
    </xf>
    <xf numFmtId="9" fontId="73" fillId="0" borderId="0" xfId="40" applyNumberFormat="1" applyFont="1" applyFill="1" applyBorder="1" applyAlignment="1">
      <alignment horizontal="left" vertical="top" wrapText="1"/>
      <protection/>
    </xf>
    <xf numFmtId="0" fontId="73" fillId="0" borderId="0" xfId="40" applyFont="1" applyFill="1" applyBorder="1" applyAlignment="1">
      <alignment horizontal="left" vertical="top" wrapText="1"/>
      <protection/>
    </xf>
    <xf numFmtId="0" fontId="74" fillId="0" borderId="0" xfId="40" applyFont="1" applyAlignment="1">
      <alignment horizontal="right" vertical="top" wrapText="1"/>
      <protection/>
    </xf>
    <xf numFmtId="174" fontId="40" fillId="0" borderId="0" xfId="43" applyNumberFormat="1" applyFont="1" applyAlignment="1">
      <alignment vertical="top" wrapText="1"/>
    </xf>
    <xf numFmtId="0" fontId="73" fillId="0" borderId="0" xfId="40" applyFont="1" applyFill="1" applyBorder="1" applyAlignment="1">
      <alignment horizontal="right" vertical="top" wrapText="1"/>
      <protection/>
    </xf>
    <xf numFmtId="49" fontId="73" fillId="0" borderId="0" xfId="40" applyNumberFormat="1" applyFont="1" applyFill="1" applyBorder="1" applyAlignment="1" applyProtection="1">
      <alignment horizontal="center" vertical="top"/>
      <protection/>
    </xf>
    <xf numFmtId="49" fontId="73" fillId="0" borderId="0" xfId="43" applyNumberFormat="1" applyFont="1" applyFill="1" applyBorder="1" applyAlignment="1">
      <alignment vertical="top" wrapText="1"/>
    </xf>
    <xf numFmtId="0" fontId="73" fillId="0" borderId="0" xfId="0" applyFont="1" applyAlignment="1">
      <alignment horizontal="right" vertical="top" wrapText="1"/>
    </xf>
    <xf numFmtId="0" fontId="83" fillId="0" borderId="0" xfId="0" applyFont="1" applyAlignment="1">
      <alignment horizontal="right" vertical="top" wrapText="1"/>
    </xf>
    <xf numFmtId="0" fontId="40" fillId="0" borderId="0" xfId="40" applyFont="1" applyAlignment="1">
      <alignment horizontal="left" vertical="top" wrapText="1"/>
      <protection/>
    </xf>
    <xf numFmtId="0" fontId="83" fillId="0" borderId="0" xfId="40" applyFont="1" applyAlignment="1">
      <alignment horizontal="right" vertical="top" wrapText="1"/>
      <protection/>
    </xf>
    <xf numFmtId="174" fontId="40" fillId="38" borderId="0" xfId="63" applyNumberFormat="1" applyFont="1" applyFill="1" applyAlignment="1">
      <alignment vertical="top" wrapText="1"/>
    </xf>
    <xf numFmtId="3" fontId="40" fillId="38" borderId="0" xfId="63" applyNumberFormat="1" applyFont="1" applyFill="1" applyAlignment="1">
      <alignment vertical="top" wrapText="1"/>
    </xf>
    <xf numFmtId="174" fontId="40" fillId="0" borderId="0" xfId="63" applyNumberFormat="1" applyFont="1" applyAlignment="1">
      <alignment vertical="top" wrapText="1"/>
    </xf>
    <xf numFmtId="3" fontId="40" fillId="0" borderId="0" xfId="63" applyNumberFormat="1" applyFont="1" applyAlignment="1">
      <alignment vertical="top" wrapText="1"/>
    </xf>
    <xf numFmtId="0" fontId="84" fillId="0" borderId="0" xfId="40" applyFont="1" applyAlignment="1">
      <alignment horizontal="left" vertical="top" wrapText="1"/>
      <protection/>
    </xf>
    <xf numFmtId="0" fontId="73" fillId="0" borderId="0" xfId="40" applyFont="1" applyAlignment="1">
      <alignment horizontal="left" vertical="top" wrapText="1"/>
      <protection/>
    </xf>
    <xf numFmtId="174" fontId="85" fillId="0" borderId="0" xfId="45" applyNumberFormat="1" applyFont="1" applyAlignment="1">
      <alignment vertical="top" wrapText="1"/>
    </xf>
    <xf numFmtId="3" fontId="81" fillId="0" borderId="0" xfId="0" applyNumberFormat="1" applyFont="1" applyAlignment="1">
      <alignment vertical="top" wrapText="1"/>
    </xf>
    <xf numFmtId="174" fontId="86" fillId="0" borderId="0" xfId="45" applyNumberFormat="1" applyFont="1" applyAlignment="1">
      <alignment vertical="top" wrapText="1"/>
    </xf>
    <xf numFmtId="174" fontId="87" fillId="0" borderId="0" xfId="45" applyNumberFormat="1" applyFont="1" applyAlignment="1">
      <alignment vertical="top" wrapText="1"/>
    </xf>
    <xf numFmtId="174" fontId="40" fillId="0" borderId="0" xfId="40" applyNumberFormat="1" applyFont="1" applyAlignment="1">
      <alignment vertical="top" wrapText="1"/>
      <protection/>
    </xf>
    <xf numFmtId="38" fontId="4" fillId="0" borderId="0" xfId="43" applyNumberFormat="1" applyFont="1" applyAlignment="1">
      <alignment horizontal="center" wrapText="1"/>
    </xf>
    <xf numFmtId="172" fontId="4" fillId="0" borderId="0" xfId="43" applyNumberFormat="1" applyFont="1" applyFill="1" applyAlignment="1">
      <alignment horizontal="center" wrapText="1"/>
    </xf>
    <xf numFmtId="38" fontId="4" fillId="0" borderId="0" xfId="43" applyNumberFormat="1" applyFont="1" applyFill="1" applyAlignment="1">
      <alignment horizontal="center" wrapText="1"/>
    </xf>
    <xf numFmtId="9" fontId="4" fillId="0" borderId="0" xfId="63" applyFont="1" applyFill="1" applyAlignment="1">
      <alignment horizontal="center" wrapText="1"/>
    </xf>
    <xf numFmtId="9" fontId="4" fillId="0" borderId="0" xfId="63" applyFont="1" applyAlignment="1">
      <alignment horizontal="center" wrapText="1"/>
    </xf>
    <xf numFmtId="178" fontId="4" fillId="0" borderId="0" xfId="63" applyNumberFormat="1" applyFont="1" applyAlignment="1">
      <alignment horizontal="center" wrapText="1"/>
    </xf>
    <xf numFmtId="178" fontId="4" fillId="0" borderId="0" xfId="43" applyNumberFormat="1" applyFont="1" applyAlignment="1">
      <alignment horizontal="center" wrapText="1"/>
    </xf>
    <xf numFmtId="38" fontId="4" fillId="0" borderId="0" xfId="43" applyNumberFormat="1" applyFont="1" applyAlignment="1" quotePrefix="1">
      <alignment horizontal="center"/>
    </xf>
    <xf numFmtId="0" fontId="0" fillId="0" borderId="0" xfId="0" applyFill="1" applyAlignment="1">
      <alignment horizontal="center"/>
    </xf>
    <xf numFmtId="38" fontId="0" fillId="0" borderId="0" xfId="43" applyNumberFormat="1" applyFont="1" applyFill="1" applyAlignment="1">
      <alignment horizontal="center"/>
    </xf>
    <xf numFmtId="0" fontId="0" fillId="0" borderId="0" xfId="0" applyFill="1" applyAlignment="1">
      <alignment horizontal="center" wrapText="1"/>
    </xf>
    <xf numFmtId="0" fontId="31" fillId="39" borderId="0" xfId="40" applyFont="1" applyFill="1" applyAlignment="1">
      <alignment horizontal="right" vertical="top" wrapText="1"/>
      <protection/>
    </xf>
    <xf numFmtId="0" fontId="31" fillId="39" borderId="0" xfId="40" applyFont="1" applyFill="1" applyAlignment="1">
      <alignment vertical="top" wrapText="1"/>
      <protection/>
    </xf>
    <xf numFmtId="3" fontId="73" fillId="39" borderId="0" xfId="40" applyNumberFormat="1" applyFont="1" applyFill="1" applyAlignment="1" applyProtection="1">
      <alignment horizontal="right" vertical="top" wrapText="1"/>
      <protection/>
    </xf>
    <xf numFmtId="174" fontId="74" fillId="39" borderId="0" xfId="43" applyNumberFormat="1" applyFont="1" applyFill="1" applyAlignment="1">
      <alignment vertical="top" wrapText="1"/>
    </xf>
    <xf numFmtId="174" fontId="31" fillId="39" borderId="0" xfId="43" applyNumberFormat="1" applyFont="1" applyFill="1" applyAlignment="1">
      <alignment vertical="top" wrapText="1"/>
    </xf>
    <xf numFmtId="3" fontId="31" fillId="39" borderId="0" xfId="43" applyNumberFormat="1" applyFont="1" applyFill="1" applyAlignment="1">
      <alignment vertical="top" wrapText="1"/>
    </xf>
    <xf numFmtId="6" fontId="31" fillId="39" borderId="0" xfId="45" applyNumberFormat="1" applyFont="1" applyFill="1" applyAlignment="1">
      <alignment vertical="top" wrapText="1"/>
    </xf>
    <xf numFmtId="0" fontId="31" fillId="39" borderId="0" xfId="40" applyFont="1" applyFill="1" applyAlignment="1">
      <alignment horizontal="center" vertical="top" wrapText="1"/>
      <protection/>
    </xf>
    <xf numFmtId="3" fontId="73" fillId="0" borderId="0" xfId="40" applyNumberFormat="1" applyFont="1" applyBorder="1" applyAlignment="1">
      <alignment vertical="top" wrapText="1"/>
      <protection/>
    </xf>
    <xf numFmtId="0" fontId="89" fillId="0" borderId="0" xfId="40" applyFont="1" applyBorder="1" applyAlignment="1">
      <alignment horizontal="right" vertical="top" wrapText="1"/>
      <protection/>
    </xf>
    <xf numFmtId="0" fontId="73" fillId="0" borderId="0" xfId="59" applyFont="1" applyBorder="1" applyAlignment="1">
      <alignment horizontal="right" vertical="top" wrapText="1"/>
      <protection/>
    </xf>
    <xf numFmtId="174" fontId="73" fillId="0" borderId="0" xfId="59" applyNumberFormat="1" applyFont="1" applyBorder="1" applyAlignment="1">
      <alignment vertical="top" wrapText="1"/>
      <protection/>
    </xf>
    <xf numFmtId="0" fontId="73" fillId="0" borderId="0" xfId="59" applyFont="1" applyBorder="1" applyAlignment="1">
      <alignment vertical="top" wrapText="1"/>
      <protection/>
    </xf>
    <xf numFmtId="0" fontId="73" fillId="0" borderId="0" xfId="59" applyFont="1" applyBorder="1" applyAlignment="1">
      <alignment horizontal="center" vertical="top" wrapText="1"/>
      <protection/>
    </xf>
    <xf numFmtId="174" fontId="41" fillId="0" borderId="0" xfId="40" applyNumberFormat="1" applyFont="1" applyBorder="1" applyAlignment="1">
      <alignment vertical="top" wrapText="1"/>
      <protection/>
    </xf>
    <xf numFmtId="0" fontId="41" fillId="0" borderId="0" xfId="40" applyFont="1" applyBorder="1" applyAlignment="1">
      <alignment horizontal="center" vertical="top" wrapText="1"/>
      <protection/>
    </xf>
    <xf numFmtId="9" fontId="73" fillId="0" borderId="0" xfId="40" applyNumberFormat="1" applyFont="1" applyBorder="1" applyAlignment="1">
      <alignment horizontal="right" vertical="top" wrapText="1"/>
      <protection/>
    </xf>
    <xf numFmtId="49" fontId="73" fillId="0" borderId="0" xfId="40" applyNumberFormat="1" applyFont="1" applyBorder="1" applyAlignment="1">
      <alignment horizontal="right" vertical="top" wrapText="1"/>
      <protection/>
    </xf>
    <xf numFmtId="0" fontId="89" fillId="0" borderId="0" xfId="40" applyFont="1" applyFill="1" applyBorder="1" applyAlignment="1">
      <alignment horizontal="right" vertical="top" wrapText="1"/>
      <protection/>
    </xf>
    <xf numFmtId="0" fontId="83" fillId="0" borderId="0" xfId="59" applyFont="1" applyAlignment="1">
      <alignment horizontal="right" vertical="top" wrapText="1"/>
      <protection/>
    </xf>
    <xf numFmtId="0" fontId="90" fillId="0" borderId="0" xfId="40" applyFont="1" applyBorder="1" applyAlignment="1">
      <alignment horizontal="right" vertical="top" wrapText="1"/>
      <protection/>
    </xf>
    <xf numFmtId="0" fontId="73" fillId="0" borderId="0" xfId="43" applyNumberFormat="1" applyFont="1" applyAlignment="1">
      <alignment vertical="top" wrapText="1"/>
    </xf>
    <xf numFmtId="0" fontId="73" fillId="0" borderId="0" xfId="45" applyNumberFormat="1" applyFont="1" applyAlignment="1">
      <alignment vertical="top" wrapText="1"/>
    </xf>
    <xf numFmtId="0" fontId="72" fillId="0" borderId="0" xfId="59" applyFont="1" applyAlignment="1">
      <alignment horizontal="left" vertical="top" wrapText="1"/>
      <protection/>
    </xf>
    <xf numFmtId="3" fontId="32" fillId="0" borderId="0" xfId="40" applyNumberFormat="1" applyFont="1" applyBorder="1" applyAlignment="1">
      <alignment vertical="top" wrapText="1"/>
      <protection/>
    </xf>
    <xf numFmtId="0" fontId="32" fillId="0" borderId="0" xfId="40" applyFont="1" applyBorder="1" applyAlignment="1">
      <alignment vertical="top" wrapText="1"/>
      <protection/>
    </xf>
    <xf numFmtId="174" fontId="32" fillId="0" borderId="0" xfId="40" applyNumberFormat="1" applyFont="1" applyBorder="1" applyAlignment="1">
      <alignment vertical="top" wrapText="1"/>
      <protection/>
    </xf>
    <xf numFmtId="3" fontId="79" fillId="0" borderId="0" xfId="40" applyNumberFormat="1" applyFont="1" applyBorder="1" applyAlignment="1">
      <alignment vertical="top" wrapText="1"/>
      <protection/>
    </xf>
    <xf numFmtId="0" fontId="79" fillId="0" borderId="0" xfId="40" applyFont="1" applyBorder="1" applyAlignment="1">
      <alignment vertical="top" wrapText="1"/>
      <protection/>
    </xf>
    <xf numFmtId="174" fontId="79" fillId="0" borderId="0" xfId="40" applyNumberFormat="1" applyFont="1" applyBorder="1" applyAlignment="1">
      <alignment vertical="top" wrapText="1"/>
      <protection/>
    </xf>
    <xf numFmtId="0" fontId="76" fillId="0" borderId="0" xfId="40" applyFont="1" applyBorder="1" applyAlignment="1">
      <alignment horizontal="center" vertical="top" wrapText="1"/>
      <protection/>
    </xf>
    <xf numFmtId="174" fontId="41" fillId="0" borderId="0" xfId="40" applyNumberFormat="1" applyFont="1" applyBorder="1" applyAlignment="1">
      <alignment horizontal="center" vertical="top" wrapText="1"/>
      <protection/>
    </xf>
    <xf numFmtId="3" fontId="41" fillId="0" borderId="0" xfId="40" applyNumberFormat="1" applyFont="1" applyBorder="1" applyAlignment="1" applyProtection="1">
      <alignment horizontal="center" vertical="top" wrapText="1"/>
      <protection/>
    </xf>
    <xf numFmtId="174" fontId="77" fillId="0" borderId="0" xfId="43" applyNumberFormat="1" applyFont="1" applyBorder="1" applyAlignment="1">
      <alignment horizontal="center" vertical="top" wrapText="1"/>
    </xf>
    <xf numFmtId="174" fontId="41" fillId="0" borderId="0" xfId="43" applyNumberFormat="1" applyFont="1" applyBorder="1" applyAlignment="1">
      <alignment horizontal="center" vertical="top" wrapText="1"/>
    </xf>
    <xf numFmtId="3" fontId="78" fillId="0" borderId="0" xfId="43" applyNumberFormat="1" applyFont="1" applyBorder="1" applyAlignment="1">
      <alignment horizontal="center" vertical="top" textRotation="90" wrapText="1"/>
    </xf>
    <xf numFmtId="3" fontId="41" fillId="0" borderId="0" xfId="43" applyNumberFormat="1" applyFont="1" applyBorder="1" applyAlignment="1">
      <alignment horizontal="center" vertical="top" wrapText="1"/>
    </xf>
    <xf numFmtId="6" fontId="41" fillId="0" borderId="0" xfId="45" applyNumberFormat="1" applyFont="1" applyBorder="1" applyAlignment="1">
      <alignment horizontal="center" vertical="top" wrapText="1"/>
    </xf>
    <xf numFmtId="0" fontId="31" fillId="0" borderId="0" xfId="0" applyFont="1" applyBorder="1" applyAlignment="1">
      <alignment horizontal="right" vertical="top" wrapText="1"/>
    </xf>
    <xf numFmtId="174" fontId="31" fillId="0" borderId="0" xfId="0" applyNumberFormat="1" applyFont="1" applyBorder="1" applyAlignment="1">
      <alignment vertical="top" wrapText="1"/>
    </xf>
    <xf numFmtId="3" fontId="31" fillId="0" borderId="0" xfId="0" applyNumberFormat="1" applyFont="1" applyBorder="1" applyAlignment="1">
      <alignment vertical="top" wrapText="1"/>
    </xf>
    <xf numFmtId="0" fontId="31" fillId="0" borderId="0" xfId="0" applyFont="1" applyBorder="1" applyAlignment="1">
      <alignment vertical="top" wrapText="1"/>
    </xf>
    <xf numFmtId="0" fontId="31" fillId="0" borderId="0" xfId="0" applyFont="1" applyBorder="1" applyAlignment="1">
      <alignment horizontal="center" vertical="top" wrapText="1"/>
    </xf>
    <xf numFmtId="0" fontId="79" fillId="0" borderId="0" xfId="40" applyFont="1" applyBorder="1" applyAlignment="1">
      <alignment horizontal="right" vertical="top" wrapText="1"/>
      <protection/>
    </xf>
    <xf numFmtId="0" fontId="79" fillId="0" borderId="0" xfId="40" applyFont="1" applyBorder="1" applyAlignment="1">
      <alignment horizontal="center" vertical="top" wrapText="1"/>
      <protection/>
    </xf>
    <xf numFmtId="0" fontId="32" fillId="0" borderId="0" xfId="40" applyFont="1" applyBorder="1" applyAlignment="1">
      <alignment horizontal="right" vertical="top" wrapText="1"/>
      <protection/>
    </xf>
    <xf numFmtId="0" fontId="32" fillId="0" borderId="0" xfId="40" applyFont="1" applyBorder="1" applyAlignment="1">
      <alignment horizontal="center" vertical="top" wrapText="1"/>
      <protection/>
    </xf>
    <xf numFmtId="0" fontId="74" fillId="0" borderId="0" xfId="40" applyFont="1" applyBorder="1" applyAlignment="1">
      <alignment horizontal="right" vertical="top" wrapText="1"/>
      <protection/>
    </xf>
    <xf numFmtId="174" fontId="40" fillId="0" borderId="0" xfId="40" applyNumberFormat="1" applyFont="1" applyBorder="1" applyAlignment="1">
      <alignment vertical="top" wrapText="1"/>
      <protection/>
    </xf>
    <xf numFmtId="174" fontId="73" fillId="0" borderId="0" xfId="40" applyNumberFormat="1" applyFont="1" applyAlignment="1">
      <alignment horizontal="center" vertical="top" wrapText="1"/>
      <protection/>
    </xf>
    <xf numFmtId="9" fontId="73" fillId="0" borderId="0" xfId="40" applyNumberFormat="1" applyFont="1" applyFill="1" applyBorder="1" applyAlignment="1">
      <alignment horizontal="right" vertical="top" wrapText="1"/>
      <protection/>
    </xf>
    <xf numFmtId="0" fontId="80" fillId="0" borderId="0" xfId="40" applyFont="1" applyBorder="1" applyAlignment="1">
      <alignment horizontal="right" vertical="top" wrapText="1"/>
      <protection/>
    </xf>
    <xf numFmtId="0" fontId="73" fillId="0" borderId="0" xfId="0" applyFont="1" applyFill="1" applyBorder="1" applyAlignment="1">
      <alignment horizontal="right" vertical="top" wrapText="1"/>
    </xf>
    <xf numFmtId="3" fontId="73" fillId="0" borderId="0" xfId="43" applyNumberFormat="1" applyFont="1" applyFill="1" applyBorder="1" applyAlignment="1">
      <alignment horizontal="right" vertical="top" wrapText="1"/>
    </xf>
    <xf numFmtId="9" fontId="73" fillId="0" borderId="0" xfId="43" applyNumberFormat="1" applyFont="1" applyFill="1" applyBorder="1" applyAlignment="1">
      <alignment horizontal="right" vertical="top" wrapText="1"/>
    </xf>
    <xf numFmtId="0" fontId="84" fillId="0" borderId="0" xfId="40" applyFont="1" applyFill="1" applyBorder="1" applyAlignment="1">
      <alignment horizontal="right" vertical="top" wrapText="1"/>
      <protection/>
    </xf>
    <xf numFmtId="0" fontId="84" fillId="0" borderId="0" xfId="40" applyFont="1" applyAlignment="1">
      <alignment horizontal="right" vertical="top" wrapText="1"/>
      <protection/>
    </xf>
    <xf numFmtId="0" fontId="84" fillId="0" borderId="0" xfId="40" applyFont="1" applyBorder="1" applyAlignment="1">
      <alignment horizontal="right" vertical="top" wrapText="1"/>
      <protection/>
    </xf>
    <xf numFmtId="0" fontId="84" fillId="0" borderId="0" xfId="59" applyFont="1" applyBorder="1" applyAlignment="1">
      <alignment horizontal="right" vertical="top" wrapText="1"/>
      <protection/>
    </xf>
    <xf numFmtId="49" fontId="84" fillId="0" borderId="0" xfId="40" applyNumberFormat="1" applyFont="1" applyBorder="1" applyAlignment="1">
      <alignment horizontal="right" vertical="top" wrapText="1"/>
      <protection/>
    </xf>
    <xf numFmtId="0" fontId="84" fillId="0" borderId="0" xfId="40" applyFont="1" applyFill="1" applyBorder="1" applyAlignment="1" applyProtection="1">
      <alignment horizontal="right" vertical="top" wrapText="1"/>
      <protection/>
    </xf>
    <xf numFmtId="0" fontId="41" fillId="0" borderId="11" xfId="40" applyFont="1" applyBorder="1" applyAlignment="1">
      <alignment horizontal="right" vertical="top" wrapText="1"/>
      <protection/>
    </xf>
    <xf numFmtId="0" fontId="41" fillId="0" borderId="0" xfId="40" applyFont="1" applyBorder="1" applyAlignment="1">
      <alignment horizontal="left" vertical="top" wrapText="1"/>
      <protection/>
    </xf>
    <xf numFmtId="0" fontId="41" fillId="0" borderId="0" xfId="0" applyFont="1" applyAlignment="1">
      <alignment horizontal="left" vertical="top" wrapText="1"/>
    </xf>
    <xf numFmtId="0" fontId="73" fillId="39" borderId="0" xfId="40" applyFont="1" applyFill="1" applyAlignment="1">
      <alignment horizontal="right" vertical="top" wrapText="1"/>
      <protection/>
    </xf>
    <xf numFmtId="0" fontId="73" fillId="0" borderId="0" xfId="40" applyFont="1" applyFill="1" applyBorder="1" applyAlignment="1" applyProtection="1">
      <alignment horizontal="right" vertical="top"/>
      <protection/>
    </xf>
    <xf numFmtId="38" fontId="4" fillId="0" borderId="0" xfId="43" applyNumberFormat="1" applyFont="1" applyAlignment="1">
      <alignment horizontal="right" wrapText="1"/>
    </xf>
    <xf numFmtId="38" fontId="4" fillId="0" borderId="0" xfId="43" applyNumberFormat="1" applyFont="1" applyFill="1" applyAlignment="1">
      <alignment horizontal="right" wrapText="1"/>
    </xf>
    <xf numFmtId="172" fontId="4" fillId="0" borderId="0" xfId="43" applyNumberFormat="1" applyFont="1" applyAlignment="1">
      <alignment horizontal="right" wrapText="1"/>
    </xf>
    <xf numFmtId="38" fontId="4" fillId="40" borderId="0" xfId="43" applyNumberFormat="1" applyFont="1" applyFill="1" applyAlignment="1">
      <alignment horizontal="center"/>
    </xf>
    <xf numFmtId="172" fontId="4" fillId="40" borderId="0" xfId="43" applyNumberFormat="1" applyFont="1" applyFill="1" applyAlignment="1">
      <alignment horizontal="center"/>
    </xf>
    <xf numFmtId="174" fontId="73" fillId="0" borderId="0" xfId="40" applyNumberFormat="1" applyFont="1" applyFill="1" applyAlignment="1">
      <alignment vertical="top" wrapText="1"/>
      <protection/>
    </xf>
    <xf numFmtId="0" fontId="84" fillId="0" borderId="10" xfId="0" applyFont="1" applyBorder="1" applyAlignment="1">
      <alignment horizontal="center" wrapText="1"/>
    </xf>
    <xf numFmtId="174" fontId="80" fillId="0" borderId="10" xfId="0" applyNumberFormat="1" applyFont="1" applyFill="1" applyBorder="1" applyAlignment="1">
      <alignment horizontal="right" vertical="top" wrapText="1"/>
    </xf>
    <xf numFmtId="174" fontId="80" fillId="0" borderId="10" xfId="43" applyNumberFormat="1" applyFont="1" applyBorder="1" applyAlignment="1" applyProtection="1">
      <alignment horizontal="center" vertical="top" wrapText="1"/>
      <protection locked="0"/>
    </xf>
    <xf numFmtId="0" fontId="84" fillId="0" borderId="0" xfId="0" applyFont="1" applyBorder="1" applyAlignment="1">
      <alignment/>
    </xf>
    <xf numFmtId="0" fontId="139" fillId="0" borderId="0" xfId="0" applyFont="1" applyAlignment="1" applyProtection="1">
      <alignment vertical="center"/>
      <protection locked="0"/>
    </xf>
    <xf numFmtId="0" fontId="139" fillId="0" borderId="0" xfId="0" applyFont="1" applyAlignment="1" applyProtection="1">
      <alignment vertical="center" wrapText="1"/>
      <protection locked="0"/>
    </xf>
    <xf numFmtId="0" fontId="84" fillId="0" borderId="10" xfId="40" applyFont="1" applyBorder="1" applyAlignment="1" applyProtection="1">
      <alignment horizontal="left" vertical="top" wrapText="1"/>
      <protection locked="0"/>
    </xf>
    <xf numFmtId="0" fontId="31" fillId="0" borderId="0" xfId="40" applyFont="1" applyAlignment="1" applyProtection="1">
      <alignment horizontal="left" vertical="top" wrapText="1"/>
      <protection locked="0"/>
    </xf>
    <xf numFmtId="0" fontId="31" fillId="0" borderId="0" xfId="0" applyFont="1" applyFill="1" applyAlignment="1" applyProtection="1">
      <alignment wrapText="1"/>
      <protection locked="0"/>
    </xf>
    <xf numFmtId="0" fontId="31" fillId="0" borderId="0" xfId="40" applyFont="1" applyAlignment="1">
      <alignment horizontal="left" vertical="top" wrapText="1"/>
      <protection/>
    </xf>
    <xf numFmtId="0" fontId="84" fillId="0" borderId="0" xfId="0" applyFont="1" applyAlignment="1" applyProtection="1">
      <alignment/>
      <protection locked="0"/>
    </xf>
    <xf numFmtId="0" fontId="31" fillId="0" borderId="0" xfId="40" applyFont="1" applyFill="1" applyAlignment="1">
      <alignment vertical="top" wrapText="1"/>
      <protection/>
    </xf>
    <xf numFmtId="0" fontId="84" fillId="0" borderId="0" xfId="0" applyFont="1" applyFill="1" applyAlignment="1" applyProtection="1">
      <alignment wrapText="1"/>
      <protection locked="0"/>
    </xf>
    <xf numFmtId="0" fontId="139" fillId="0" borderId="0" xfId="0" applyFont="1" applyAlignment="1">
      <alignment vertical="center"/>
    </xf>
    <xf numFmtId="0" fontId="139" fillId="0" borderId="0" xfId="0" applyFont="1" applyAlignment="1">
      <alignment vertical="center" wrapText="1"/>
    </xf>
    <xf numFmtId="0" fontId="84" fillId="0" borderId="10" xfId="40" applyFont="1" applyBorder="1" applyAlignment="1">
      <alignment horizontal="left" vertical="top" wrapText="1"/>
      <protection/>
    </xf>
    <xf numFmtId="0" fontId="84" fillId="0" borderId="0" xfId="40" applyFont="1" applyAlignment="1">
      <alignment vertical="top" wrapText="1"/>
      <protection/>
    </xf>
    <xf numFmtId="0" fontId="84" fillId="0" borderId="0" xfId="0" applyFont="1" applyAlignment="1">
      <alignment/>
    </xf>
    <xf numFmtId="174" fontId="84" fillId="0" borderId="0" xfId="0" applyNumberFormat="1" applyFont="1" applyFill="1" applyAlignment="1">
      <alignment horizontal="right"/>
    </xf>
    <xf numFmtId="0" fontId="84" fillId="0" borderId="0" xfId="0" applyFont="1" applyFill="1" applyAlignment="1">
      <alignment/>
    </xf>
    <xf numFmtId="0" fontId="31" fillId="0" borderId="0" xfId="40" applyFont="1" applyFill="1" applyBorder="1" applyAlignment="1" applyProtection="1">
      <alignment horizontal="left" vertical="top" wrapText="1"/>
      <protection locked="0"/>
    </xf>
    <xf numFmtId="0" fontId="31" fillId="0" borderId="0" xfId="40" applyFont="1" applyFill="1" applyAlignment="1" applyProtection="1">
      <alignment horizontal="left" vertical="top" wrapText="1"/>
      <protection locked="0"/>
    </xf>
    <xf numFmtId="0" fontId="91" fillId="0" borderId="0" xfId="40" applyFont="1" applyBorder="1" applyAlignment="1" applyProtection="1">
      <alignment horizontal="left" vertical="top" wrapText="1"/>
      <protection locked="0"/>
    </xf>
    <xf numFmtId="0" fontId="140" fillId="0" borderId="0" xfId="40" applyFont="1" applyBorder="1" applyAlignment="1" applyProtection="1">
      <alignment horizontal="left" vertical="top" wrapText="1"/>
      <protection locked="0"/>
    </xf>
    <xf numFmtId="0" fontId="31" fillId="19" borderId="0" xfId="40" applyFont="1" applyFill="1" applyBorder="1" applyAlignment="1" applyProtection="1">
      <alignment horizontal="left" vertical="top" wrapText="1"/>
      <protection locked="0"/>
    </xf>
    <xf numFmtId="0" fontId="31" fillId="19" borderId="0" xfId="40" applyFont="1" applyFill="1" applyAlignment="1" applyProtection="1">
      <alignment horizontal="left" vertical="top" wrapText="1"/>
      <protection locked="0"/>
    </xf>
    <xf numFmtId="0" fontId="31" fillId="0" borderId="0" xfId="40" applyFont="1" applyBorder="1" applyAlignment="1" applyProtection="1">
      <alignment horizontal="left" vertical="top" wrapText="1"/>
      <protection locked="0"/>
    </xf>
    <xf numFmtId="0" fontId="31" fillId="0" borderId="0" xfId="40" applyFont="1" applyFill="1" applyAlignment="1">
      <alignment horizontal="left" vertical="top" wrapText="1"/>
      <protection/>
    </xf>
    <xf numFmtId="0" fontId="91" fillId="0" borderId="0" xfId="40" applyFont="1" applyBorder="1" applyAlignment="1" applyProtection="1">
      <alignment vertical="top" wrapText="1"/>
      <protection locked="0"/>
    </xf>
    <xf numFmtId="0" fontId="92" fillId="0" borderId="0" xfId="40" applyFont="1" applyBorder="1" applyAlignment="1" applyProtection="1">
      <alignment vertical="top" wrapText="1"/>
      <protection locked="0"/>
    </xf>
    <xf numFmtId="0" fontId="31" fillId="0" borderId="0" xfId="40" applyFont="1" applyBorder="1" applyAlignment="1" applyProtection="1">
      <alignment vertical="top" wrapText="1"/>
      <protection locked="0"/>
    </xf>
    <xf numFmtId="0" fontId="32" fillId="0" borderId="0" xfId="40" applyFont="1" applyAlignment="1" applyProtection="1">
      <alignment horizontal="left" vertical="top" wrapText="1"/>
      <protection locked="0"/>
    </xf>
    <xf numFmtId="0" fontId="139" fillId="0" borderId="0" xfId="0" applyFont="1" applyAlignment="1">
      <alignment/>
    </xf>
    <xf numFmtId="3" fontId="31" fillId="0" borderId="0" xfId="43" applyNumberFormat="1" applyFont="1" applyFill="1" applyAlignment="1" applyProtection="1">
      <alignment horizontal="left" vertical="top" wrapText="1"/>
      <protection locked="0"/>
    </xf>
    <xf numFmtId="0" fontId="31" fillId="0" borderId="0" xfId="0" applyFont="1" applyAlignment="1">
      <alignment/>
    </xf>
    <xf numFmtId="0" fontId="31" fillId="0" borderId="0" xfId="0" applyFont="1" applyFill="1" applyAlignment="1">
      <alignment/>
    </xf>
    <xf numFmtId="0" fontId="31" fillId="0" borderId="0" xfId="0" applyFont="1" applyFill="1" applyAlignment="1">
      <alignment wrapText="1"/>
    </xf>
    <xf numFmtId="0" fontId="31" fillId="0" borderId="0" xfId="40" applyFont="1" applyFill="1" applyBorder="1" applyAlignment="1">
      <alignment horizontal="left" vertical="top" wrapText="1"/>
      <protection/>
    </xf>
    <xf numFmtId="1" fontId="80" fillId="0" borderId="10" xfId="43" applyNumberFormat="1" applyFont="1" applyBorder="1" applyAlignment="1" applyProtection="1">
      <alignment horizontal="right" vertical="top" textRotation="90" wrapText="1"/>
      <protection locked="0"/>
    </xf>
    <xf numFmtId="1" fontId="0" fillId="0" borderId="0" xfId="0" applyNumberFormat="1" applyAlignment="1">
      <alignment horizontal="right"/>
    </xf>
    <xf numFmtId="3" fontId="80" fillId="0" borderId="10" xfId="40" applyNumberFormat="1" applyFont="1" applyBorder="1" applyAlignment="1" applyProtection="1">
      <alignment horizontal="right" vertical="top" wrapText="1"/>
      <protection locked="0"/>
    </xf>
    <xf numFmtId="3" fontId="0" fillId="0" borderId="0" xfId="0" applyNumberFormat="1" applyAlignment="1">
      <alignment horizontal="right"/>
    </xf>
    <xf numFmtId="174" fontId="80" fillId="0" borderId="10" xfId="40" applyNumberFormat="1" applyFont="1" applyBorder="1" applyAlignment="1" applyProtection="1">
      <alignment horizontal="center" vertical="top" wrapText="1"/>
      <protection locked="0"/>
    </xf>
    <xf numFmtId="174" fontId="0" fillId="0" borderId="0" xfId="0" applyNumberFormat="1" applyFont="1" applyFill="1" applyBorder="1" applyAlignment="1">
      <alignment horizontal="right"/>
    </xf>
    <xf numFmtId="3" fontId="0" fillId="0" borderId="0" xfId="0" applyNumberFormat="1" applyFont="1" applyAlignment="1" applyProtection="1">
      <alignment horizontal="right"/>
      <protection locked="0"/>
    </xf>
    <xf numFmtId="1" fontId="0" fillId="0" borderId="0" xfId="0" applyNumberFormat="1" applyFont="1" applyAlignment="1" applyProtection="1">
      <alignment horizontal="right"/>
      <protection locked="0"/>
    </xf>
    <xf numFmtId="3" fontId="0" fillId="0" borderId="0" xfId="0" applyNumberFormat="1" applyFont="1" applyAlignment="1" applyProtection="1">
      <alignment horizontal="right" wrapText="1"/>
      <protection locked="0"/>
    </xf>
    <xf numFmtId="1" fontId="0" fillId="0" borderId="0" xfId="0" applyNumberFormat="1" applyFont="1" applyAlignment="1" applyProtection="1">
      <alignment horizontal="right" wrapText="1"/>
      <protection locked="0"/>
    </xf>
    <xf numFmtId="3" fontId="0" fillId="0" borderId="0" xfId="0" applyNumberFormat="1" applyFont="1" applyAlignment="1">
      <alignment horizontal="right"/>
    </xf>
    <xf numFmtId="1" fontId="0" fillId="0" borderId="0" xfId="0" applyNumberFormat="1" applyFont="1" applyAlignment="1">
      <alignment horizontal="right"/>
    </xf>
    <xf numFmtId="174" fontId="0" fillId="0" borderId="0" xfId="0" applyNumberFormat="1" applyFont="1" applyFill="1" applyAlignment="1" applyProtection="1">
      <alignment horizontal="right" wrapText="1"/>
      <protection locked="0"/>
    </xf>
    <xf numFmtId="174" fontId="0" fillId="0" borderId="0" xfId="0" applyNumberFormat="1" applyFont="1" applyFill="1" applyAlignment="1" applyProtection="1">
      <alignment horizontal="right"/>
      <protection locked="0"/>
    </xf>
    <xf numFmtId="3" fontId="0" fillId="0" borderId="0" xfId="0" applyNumberFormat="1" applyFont="1" applyAlignment="1">
      <alignment horizontal="right" wrapText="1"/>
    </xf>
    <xf numFmtId="1" fontId="0" fillId="0" borderId="0" xfId="0" applyNumberFormat="1" applyFont="1" applyAlignment="1">
      <alignment horizontal="right" wrapText="1"/>
    </xf>
    <xf numFmtId="174" fontId="0" fillId="0" borderId="0" xfId="0" applyNumberFormat="1" applyFont="1" applyFill="1" applyAlignment="1">
      <alignment horizontal="right"/>
    </xf>
    <xf numFmtId="174" fontId="0" fillId="0" borderId="0" xfId="40" applyNumberFormat="1" applyFont="1" applyBorder="1" applyAlignment="1" applyProtection="1">
      <alignment horizontal="right" wrapText="1"/>
      <protection locked="0"/>
    </xf>
    <xf numFmtId="3" fontId="0" fillId="0" borderId="0" xfId="40" applyNumberFormat="1" applyFont="1" applyBorder="1" applyAlignment="1" applyProtection="1">
      <alignment horizontal="right" wrapText="1"/>
      <protection locked="0"/>
    </xf>
    <xf numFmtId="174" fontId="0" fillId="0" borderId="0" xfId="43" applyNumberFormat="1" applyFont="1" applyBorder="1" applyAlignment="1" applyProtection="1">
      <alignment horizontal="right" wrapText="1"/>
      <protection locked="0"/>
    </xf>
    <xf numFmtId="1" fontId="0" fillId="0" borderId="0" xfId="43" applyNumberFormat="1" applyFont="1" applyBorder="1" applyAlignment="1" applyProtection="1">
      <alignment horizontal="right" textRotation="90" wrapText="1"/>
      <protection locked="0"/>
    </xf>
    <xf numFmtId="174" fontId="0" fillId="0" borderId="0" xfId="0" applyNumberFormat="1" applyFont="1" applyAlignment="1" applyProtection="1">
      <alignment horizontal="right"/>
      <protection locked="0"/>
    </xf>
    <xf numFmtId="174" fontId="0" fillId="0" borderId="0" xfId="0" applyNumberFormat="1" applyFont="1" applyAlignment="1" applyProtection="1">
      <alignment horizontal="right" wrapText="1"/>
      <protection locked="0"/>
    </xf>
    <xf numFmtId="174" fontId="0" fillId="0" borderId="0" xfId="40" applyNumberFormat="1" applyFont="1" applyFill="1" applyBorder="1" applyAlignment="1" applyProtection="1">
      <alignment horizontal="right" wrapText="1"/>
      <protection locked="0"/>
    </xf>
    <xf numFmtId="174" fontId="0" fillId="0" borderId="0" xfId="0" applyNumberFormat="1" applyFont="1" applyAlignment="1">
      <alignment horizontal="right"/>
    </xf>
    <xf numFmtId="174" fontId="0" fillId="0" borderId="0" xfId="40" applyNumberFormat="1" applyFont="1" applyFill="1" applyAlignment="1" applyProtection="1">
      <alignment horizontal="right" wrapText="1"/>
      <protection locked="0"/>
    </xf>
    <xf numFmtId="174" fontId="0" fillId="0" borderId="0" xfId="40" applyNumberFormat="1" applyFont="1" applyAlignment="1" applyProtection="1">
      <alignment horizontal="right" wrapText="1"/>
      <protection locked="0"/>
    </xf>
    <xf numFmtId="174" fontId="0" fillId="0" borderId="0" xfId="40" applyNumberFormat="1" applyFont="1" applyFill="1" applyAlignment="1">
      <alignment horizontal="right" wrapText="1"/>
      <protection/>
    </xf>
    <xf numFmtId="3" fontId="0" fillId="0" borderId="0" xfId="40" applyNumberFormat="1" applyFont="1" applyAlignment="1" applyProtection="1">
      <alignment horizontal="right" wrapText="1"/>
      <protection/>
    </xf>
    <xf numFmtId="174" fontId="0" fillId="0" borderId="0" xfId="43" applyNumberFormat="1" applyFont="1" applyAlignment="1">
      <alignment horizontal="right" wrapText="1"/>
    </xf>
    <xf numFmtId="174" fontId="0" fillId="0" borderId="0" xfId="0" applyNumberFormat="1" applyFont="1" applyAlignment="1">
      <alignment horizontal="right" wrapText="1"/>
    </xf>
    <xf numFmtId="1" fontId="0" fillId="0" borderId="0" xfId="43" applyNumberFormat="1" applyFont="1" applyAlignment="1">
      <alignment horizontal="right" wrapText="1"/>
    </xf>
    <xf numFmtId="1" fontId="0" fillId="0" borderId="0" xfId="43" applyNumberFormat="1" applyFont="1" applyBorder="1" applyAlignment="1" applyProtection="1">
      <alignment horizontal="right" wrapText="1"/>
      <protection locked="0"/>
    </xf>
    <xf numFmtId="174" fontId="0" fillId="0" borderId="0" xfId="40" applyNumberFormat="1" applyFont="1" applyAlignment="1">
      <alignment horizontal="right" wrapText="1"/>
      <protection/>
    </xf>
    <xf numFmtId="3" fontId="0" fillId="0" borderId="0" xfId="40" applyNumberFormat="1" applyFont="1" applyAlignment="1">
      <alignment horizontal="right" wrapText="1"/>
      <protection/>
    </xf>
    <xf numFmtId="1" fontId="0" fillId="0" borderId="0" xfId="40" applyNumberFormat="1" applyFont="1" applyAlignment="1">
      <alignment horizontal="right" wrapText="1"/>
      <protection/>
    </xf>
    <xf numFmtId="177" fontId="0" fillId="0" borderId="0" xfId="0" applyNumberFormat="1" applyFont="1" applyAlignment="1">
      <alignment horizontal="right"/>
    </xf>
    <xf numFmtId="174" fontId="0" fillId="0" borderId="0" xfId="40" applyNumberFormat="1" applyFont="1" applyFill="1" applyBorder="1" applyAlignment="1">
      <alignment horizontal="right" wrapText="1"/>
      <protection/>
    </xf>
    <xf numFmtId="174" fontId="0" fillId="0" borderId="0" xfId="40" applyNumberFormat="1" applyFont="1" applyBorder="1" applyAlignment="1">
      <alignment horizontal="right" wrapText="1"/>
      <protection/>
    </xf>
    <xf numFmtId="3" fontId="0" fillId="0" borderId="0" xfId="40" applyNumberFormat="1" applyFont="1" applyBorder="1" applyAlignment="1" applyProtection="1">
      <alignment horizontal="right" wrapText="1"/>
      <protection/>
    </xf>
    <xf numFmtId="174" fontId="0" fillId="0" borderId="0" xfId="43" applyNumberFormat="1" applyFont="1" applyBorder="1" applyAlignment="1">
      <alignment horizontal="right" wrapText="1"/>
    </xf>
    <xf numFmtId="1" fontId="0" fillId="0" borderId="0" xfId="43" applyNumberFormat="1" applyFont="1" applyBorder="1" applyAlignment="1">
      <alignment horizontal="right" textRotation="90" wrapText="1"/>
    </xf>
    <xf numFmtId="3" fontId="0" fillId="0" borderId="0" xfId="43" applyNumberFormat="1" applyFont="1" applyAlignment="1">
      <alignment horizontal="right" wrapText="1"/>
    </xf>
    <xf numFmtId="1" fontId="0" fillId="0" borderId="0" xfId="43" applyNumberFormat="1" applyFont="1" applyBorder="1" applyAlignment="1">
      <alignment horizontal="right" wrapText="1"/>
    </xf>
    <xf numFmtId="3" fontId="0" fillId="0" borderId="0" xfId="40" applyNumberFormat="1" applyFont="1" applyAlignment="1" applyProtection="1">
      <alignment horizontal="right" wrapText="1"/>
      <protection locked="0"/>
    </xf>
    <xf numFmtId="1" fontId="0" fillId="0" borderId="0" xfId="40" applyNumberFormat="1" applyFont="1" applyAlignment="1" applyProtection="1">
      <alignment horizontal="right" wrapText="1"/>
      <protection locked="0"/>
    </xf>
    <xf numFmtId="3" fontId="0" fillId="0" borderId="0" xfId="40" applyNumberFormat="1" applyFont="1" applyFill="1" applyAlignment="1" applyProtection="1">
      <alignment horizontal="right" wrapText="1"/>
      <protection locked="0"/>
    </xf>
    <xf numFmtId="174" fontId="0" fillId="0" borderId="0" xfId="43" applyNumberFormat="1" applyFont="1" applyAlignment="1" applyProtection="1">
      <alignment horizontal="right" wrapText="1"/>
      <protection locked="0"/>
    </xf>
    <xf numFmtId="1" fontId="0" fillId="0" borderId="0" xfId="43" applyNumberFormat="1" applyFont="1" applyAlignment="1" applyProtection="1">
      <alignment horizontal="right" wrapText="1"/>
      <protection locked="0"/>
    </xf>
    <xf numFmtId="177" fontId="0" fillId="0" borderId="0" xfId="43" applyNumberFormat="1" applyFont="1" applyAlignment="1" applyProtection="1">
      <alignment horizontal="right" wrapText="1"/>
      <protection locked="0"/>
    </xf>
    <xf numFmtId="3" fontId="0" fillId="0" borderId="0" xfId="43" applyNumberFormat="1" applyFont="1" applyFill="1" applyAlignment="1" applyProtection="1">
      <alignment horizontal="right" wrapText="1"/>
      <protection locked="0"/>
    </xf>
    <xf numFmtId="174" fontId="0" fillId="0" borderId="0" xfId="43" applyNumberFormat="1" applyFont="1" applyFill="1" applyAlignment="1" applyProtection="1">
      <alignment horizontal="right" wrapText="1"/>
      <protection locked="0"/>
    </xf>
    <xf numFmtId="177" fontId="0" fillId="0" borderId="0" xfId="43" applyNumberFormat="1" applyFont="1" applyFill="1" applyAlignment="1" applyProtection="1">
      <alignment horizontal="right" wrapText="1"/>
      <protection locked="0"/>
    </xf>
    <xf numFmtId="1" fontId="0" fillId="0" borderId="0" xfId="43" applyNumberFormat="1" applyFont="1" applyFill="1" applyAlignment="1" applyProtection="1">
      <alignment horizontal="right" wrapText="1"/>
      <protection locked="0"/>
    </xf>
    <xf numFmtId="1" fontId="0" fillId="0" borderId="0" xfId="40" applyNumberFormat="1" applyFont="1" applyBorder="1" applyAlignment="1" applyProtection="1">
      <alignment horizontal="right" wrapText="1"/>
      <protection locked="0"/>
    </xf>
    <xf numFmtId="3" fontId="0" fillId="0" borderId="0" xfId="43" applyNumberFormat="1" applyFont="1" applyAlignment="1" applyProtection="1">
      <alignment horizontal="right" wrapText="1"/>
      <protection locked="0"/>
    </xf>
    <xf numFmtId="177" fontId="0" fillId="0" borderId="0" xfId="40" applyNumberFormat="1" applyFont="1" applyAlignment="1">
      <alignment horizontal="right" wrapText="1"/>
      <protection/>
    </xf>
    <xf numFmtId="1" fontId="0" fillId="0" borderId="0" xfId="40" applyNumberFormat="1" applyFont="1" applyBorder="1" applyAlignment="1">
      <alignment horizontal="right" wrapText="1"/>
      <protection/>
    </xf>
    <xf numFmtId="174" fontId="0" fillId="0" borderId="0" xfId="0" applyNumberFormat="1" applyFont="1" applyBorder="1" applyAlignment="1">
      <alignment horizontal="right" wrapText="1"/>
    </xf>
    <xf numFmtId="174" fontId="0" fillId="0" borderId="0" xfId="0" applyNumberFormat="1" applyAlignment="1">
      <alignment horizontal="right"/>
    </xf>
    <xf numFmtId="0" fontId="40" fillId="0" borderId="0" xfId="0" applyFont="1" applyAlignment="1">
      <alignment horizontal="right"/>
    </xf>
    <xf numFmtId="174" fontId="73" fillId="0" borderId="0" xfId="40" applyNumberFormat="1" applyFont="1" applyFill="1" applyBorder="1" applyAlignment="1">
      <alignment vertical="top" wrapText="1"/>
      <protection/>
    </xf>
    <xf numFmtId="0" fontId="76" fillId="0" borderId="10" xfId="40" applyFont="1" applyFill="1" applyBorder="1" applyAlignment="1">
      <alignment horizontal="right" vertical="top" wrapText="1"/>
      <protection/>
    </xf>
    <xf numFmtId="0" fontId="41" fillId="0" borderId="10" xfId="40" applyFont="1" applyFill="1" applyBorder="1" applyAlignment="1">
      <alignment horizontal="center" vertical="top" wrapText="1"/>
      <protection/>
    </xf>
    <xf numFmtId="3" fontId="41" fillId="0" borderId="10" xfId="40" applyNumberFormat="1" applyFont="1" applyFill="1" applyBorder="1" applyAlignment="1" applyProtection="1">
      <alignment horizontal="center" vertical="top" wrapText="1"/>
      <protection/>
    </xf>
    <xf numFmtId="174" fontId="41" fillId="0" borderId="10" xfId="43" applyNumberFormat="1" applyFont="1" applyFill="1" applyBorder="1" applyAlignment="1">
      <alignment horizontal="center" vertical="top" wrapText="1"/>
    </xf>
    <xf numFmtId="3" fontId="78" fillId="0" borderId="10" xfId="43" applyNumberFormat="1" applyFont="1" applyFill="1" applyBorder="1" applyAlignment="1">
      <alignment horizontal="center" vertical="top" textRotation="90" wrapText="1"/>
    </xf>
    <xf numFmtId="3" fontId="41" fillId="0" borderId="10" xfId="43" applyNumberFormat="1" applyFont="1" applyFill="1" applyBorder="1" applyAlignment="1">
      <alignment horizontal="center" vertical="top" wrapText="1"/>
    </xf>
    <xf numFmtId="6" fontId="41" fillId="0" borderId="10" xfId="45" applyNumberFormat="1" applyFont="1" applyFill="1" applyBorder="1" applyAlignment="1">
      <alignment horizontal="center" vertical="top" wrapText="1"/>
    </xf>
    <xf numFmtId="5" fontId="41" fillId="0" borderId="10" xfId="45" applyNumberFormat="1" applyFont="1" applyFill="1" applyBorder="1" applyAlignment="1">
      <alignment horizontal="center" vertical="top" wrapText="1"/>
    </xf>
    <xf numFmtId="0" fontId="32" fillId="0" borderId="0" xfId="40" applyFont="1" applyFill="1" applyAlignment="1">
      <alignment vertical="top" wrapText="1"/>
      <protection/>
    </xf>
    <xf numFmtId="0" fontId="76" fillId="0" borderId="10" xfId="40" applyFont="1" applyFill="1" applyBorder="1" applyAlignment="1">
      <alignment horizontal="center" vertical="top" wrapText="1"/>
      <protection/>
    </xf>
    <xf numFmtId="174" fontId="41" fillId="0" borderId="10" xfId="40" applyNumberFormat="1" applyFont="1" applyFill="1" applyBorder="1" applyAlignment="1">
      <alignment horizontal="center" vertical="top" wrapText="1"/>
      <protection/>
    </xf>
    <xf numFmtId="174" fontId="77" fillId="0" borderId="10" xfId="43" applyNumberFormat="1" applyFont="1" applyFill="1" applyBorder="1" applyAlignment="1">
      <alignment horizontal="center" vertical="top" wrapText="1"/>
    </xf>
    <xf numFmtId="0" fontId="72" fillId="0" borderId="11" xfId="40" applyFont="1" applyFill="1" applyBorder="1" applyAlignment="1">
      <alignment horizontal="right" vertical="top" wrapText="1"/>
      <protection/>
    </xf>
    <xf numFmtId="0" fontId="73" fillId="0" borderId="11" xfId="40" applyFont="1" applyFill="1" applyBorder="1" applyAlignment="1">
      <alignment vertical="top" wrapText="1"/>
      <protection/>
    </xf>
    <xf numFmtId="3" fontId="73" fillId="0" borderId="11" xfId="40" applyNumberFormat="1" applyFont="1" applyFill="1" applyBorder="1" applyAlignment="1" applyProtection="1">
      <alignment horizontal="right" vertical="top" wrapText="1"/>
      <protection/>
    </xf>
    <xf numFmtId="174" fontId="73" fillId="0" borderId="11" xfId="43" applyNumberFormat="1" applyFont="1" applyFill="1" applyBorder="1" applyAlignment="1">
      <alignment vertical="top" wrapText="1"/>
    </xf>
    <xf numFmtId="3" fontId="73" fillId="0" borderId="11" xfId="43" applyNumberFormat="1" applyFont="1" applyFill="1" applyBorder="1" applyAlignment="1">
      <alignment vertical="top" wrapText="1"/>
    </xf>
    <xf numFmtId="6" fontId="41" fillId="0" borderId="11" xfId="45" applyNumberFormat="1" applyFont="1" applyFill="1" applyBorder="1" applyAlignment="1">
      <alignment vertical="top" wrapText="1"/>
    </xf>
    <xf numFmtId="0" fontId="73" fillId="0" borderId="11" xfId="40" applyFont="1" applyFill="1" applyBorder="1" applyAlignment="1">
      <alignment horizontal="center" vertical="top" wrapText="1"/>
      <protection/>
    </xf>
    <xf numFmtId="6" fontId="73" fillId="0" borderId="11" xfId="45" applyNumberFormat="1" applyFont="1" applyFill="1" applyBorder="1" applyAlignment="1">
      <alignment vertical="top" wrapText="1"/>
    </xf>
    <xf numFmtId="5" fontId="73" fillId="0" borderId="11" xfId="45" applyNumberFormat="1" applyFont="1" applyFill="1" applyBorder="1" applyAlignment="1">
      <alignment vertical="top" wrapText="1"/>
    </xf>
    <xf numFmtId="0" fontId="41" fillId="0" borderId="12" xfId="40" applyFont="1" applyFill="1" applyBorder="1" applyAlignment="1">
      <alignment horizontal="right" vertical="top" wrapText="1"/>
      <protection/>
    </xf>
    <xf numFmtId="0" fontId="73" fillId="0" borderId="12" xfId="40" applyFont="1" applyFill="1" applyBorder="1" applyAlignment="1">
      <alignment vertical="top" wrapText="1"/>
      <protection/>
    </xf>
    <xf numFmtId="3" fontId="73" fillId="0" borderId="12" xfId="40" applyNumberFormat="1" applyFont="1" applyFill="1" applyBorder="1" applyAlignment="1" applyProtection="1">
      <alignment horizontal="right" vertical="top" wrapText="1"/>
      <protection/>
    </xf>
    <xf numFmtId="174" fontId="73" fillId="0" borderId="12" xfId="43" applyNumberFormat="1" applyFont="1" applyFill="1" applyBorder="1" applyAlignment="1">
      <alignment vertical="top" wrapText="1"/>
    </xf>
    <xf numFmtId="3" fontId="73" fillId="0" borderId="12" xfId="43" applyNumberFormat="1" applyFont="1" applyFill="1" applyBorder="1" applyAlignment="1">
      <alignment vertical="top" wrapText="1"/>
    </xf>
    <xf numFmtId="6" fontId="73" fillId="0" borderId="12" xfId="45" applyNumberFormat="1" applyFont="1" applyFill="1" applyBorder="1" applyAlignment="1">
      <alignment vertical="top" wrapText="1"/>
    </xf>
    <xf numFmtId="0" fontId="73" fillId="0" borderId="12" xfId="40" applyFont="1" applyFill="1" applyBorder="1" applyAlignment="1">
      <alignment horizontal="center" vertical="top" wrapText="1"/>
      <protection/>
    </xf>
    <xf numFmtId="5" fontId="73" fillId="0" borderId="12" xfId="45" applyNumberFormat="1" applyFont="1" applyFill="1" applyBorder="1" applyAlignment="1">
      <alignment vertical="top" wrapText="1"/>
    </xf>
    <xf numFmtId="0" fontId="76" fillId="0" borderId="0" xfId="40" applyFont="1" applyFill="1" applyBorder="1" applyAlignment="1">
      <alignment horizontal="right" vertical="top" wrapText="1"/>
      <protection/>
    </xf>
    <xf numFmtId="0" fontId="73" fillId="0" borderId="0" xfId="40" applyFont="1" applyFill="1" applyBorder="1" applyAlignment="1">
      <alignment vertical="top" wrapText="1"/>
      <protection/>
    </xf>
    <xf numFmtId="3" fontId="73" fillId="0" borderId="0" xfId="40" applyNumberFormat="1" applyFont="1" applyFill="1" applyBorder="1" applyAlignment="1" applyProtection="1">
      <alignment horizontal="right" vertical="top" wrapText="1"/>
      <protection/>
    </xf>
    <xf numFmtId="174" fontId="73" fillId="0" borderId="0" xfId="43" applyNumberFormat="1" applyFont="1" applyFill="1" applyBorder="1" applyAlignment="1">
      <alignment vertical="top" wrapText="1"/>
    </xf>
    <xf numFmtId="3" fontId="73" fillId="0" borderId="0" xfId="43" applyNumberFormat="1" applyFont="1" applyFill="1" applyBorder="1" applyAlignment="1">
      <alignment vertical="top" wrapText="1"/>
    </xf>
    <xf numFmtId="6" fontId="73" fillId="0" borderId="0" xfId="45" applyNumberFormat="1" applyFont="1" applyFill="1" applyBorder="1" applyAlignment="1">
      <alignment vertical="top" wrapText="1"/>
    </xf>
    <xf numFmtId="0" fontId="73" fillId="0" borderId="0" xfId="40" applyFont="1" applyFill="1" applyBorder="1" applyAlignment="1">
      <alignment horizontal="center" vertical="top" wrapText="1"/>
      <protection/>
    </xf>
    <xf numFmtId="5" fontId="73" fillId="0" borderId="0" xfId="45" applyNumberFormat="1" applyFont="1" applyFill="1" applyBorder="1" applyAlignment="1">
      <alignment vertical="top" wrapText="1"/>
    </xf>
    <xf numFmtId="3" fontId="73" fillId="0" borderId="0" xfId="40" applyNumberFormat="1" applyFont="1" applyFill="1" applyAlignment="1" applyProtection="1">
      <alignment horizontal="right" vertical="top" wrapText="1"/>
      <protection/>
    </xf>
    <xf numFmtId="174" fontId="73" fillId="0" borderId="0" xfId="0" applyNumberFormat="1" applyFont="1" applyFill="1" applyAlignment="1">
      <alignment vertical="top" wrapText="1"/>
    </xf>
    <xf numFmtId="174" fontId="73" fillId="0" borderId="0" xfId="43" applyNumberFormat="1" applyFont="1" applyFill="1" applyAlignment="1">
      <alignment vertical="top" wrapText="1"/>
    </xf>
    <xf numFmtId="3" fontId="73" fillId="0" borderId="0" xfId="0" applyNumberFormat="1" applyFont="1" applyFill="1" applyAlignment="1">
      <alignment horizontal="center" vertical="top" wrapText="1"/>
    </xf>
    <xf numFmtId="174" fontId="73" fillId="0" borderId="0" xfId="0" applyNumberFormat="1" applyFont="1" applyFill="1" applyAlignment="1">
      <alignment horizontal="right" vertical="top" wrapText="1"/>
    </xf>
    <xf numFmtId="6" fontId="73" fillId="0" borderId="0" xfId="45" applyNumberFormat="1" applyFont="1" applyFill="1" applyAlignment="1">
      <alignment vertical="top" wrapText="1"/>
    </xf>
    <xf numFmtId="0" fontId="73" fillId="0" borderId="0" xfId="40" applyFont="1" applyFill="1" applyAlignment="1">
      <alignment horizontal="center" vertical="top" wrapText="1"/>
      <protection/>
    </xf>
    <xf numFmtId="5" fontId="73" fillId="0" borderId="0" xfId="45" applyNumberFormat="1" applyFont="1" applyFill="1" applyAlignment="1">
      <alignment vertical="top" wrapText="1"/>
    </xf>
    <xf numFmtId="5" fontId="41" fillId="0" borderId="0" xfId="45" applyNumberFormat="1" applyFont="1" applyFill="1" applyAlignment="1">
      <alignment vertical="top" wrapText="1"/>
    </xf>
    <xf numFmtId="0" fontId="73" fillId="0" borderId="0" xfId="40" applyFont="1" applyFill="1" applyAlignment="1">
      <alignment vertical="top" wrapText="1"/>
      <protection/>
    </xf>
    <xf numFmtId="0" fontId="73" fillId="0" borderId="0" xfId="40" applyFont="1" applyFill="1" applyAlignment="1">
      <alignment horizontal="right" vertical="top" wrapText="1"/>
      <protection/>
    </xf>
    <xf numFmtId="3" fontId="73" fillId="0" borderId="0" xfId="40" applyNumberFormat="1" applyFont="1" applyFill="1" applyAlignment="1">
      <alignment vertical="top" wrapText="1"/>
      <protection/>
    </xf>
    <xf numFmtId="38" fontId="73" fillId="0" borderId="0" xfId="43" applyNumberFormat="1" applyFont="1" applyFill="1" applyAlignment="1">
      <alignment horizontal="right" vertical="top" wrapText="1"/>
    </xf>
    <xf numFmtId="3" fontId="73" fillId="0" borderId="0" xfId="43" applyNumberFormat="1" applyFont="1" applyFill="1" applyAlignment="1">
      <alignment horizontal="center" vertical="top" wrapText="1"/>
    </xf>
    <xf numFmtId="174" fontId="73" fillId="0" borderId="0" xfId="43" applyNumberFormat="1" applyFont="1" applyFill="1" applyAlignment="1">
      <alignment horizontal="right" vertical="top" wrapText="1"/>
    </xf>
    <xf numFmtId="5" fontId="73" fillId="0" borderId="0" xfId="0" applyNumberFormat="1" applyFont="1" applyFill="1" applyAlignment="1">
      <alignment vertical="top" wrapText="1"/>
    </xf>
    <xf numFmtId="3" fontId="73" fillId="0" borderId="0" xfId="43" applyNumberFormat="1" applyFont="1" applyFill="1" applyAlignment="1">
      <alignment horizontal="right" vertical="top" wrapText="1"/>
    </xf>
    <xf numFmtId="3" fontId="41" fillId="0" borderId="0" xfId="43" applyNumberFormat="1" applyFont="1" applyFill="1" applyAlignment="1">
      <alignment horizontal="right" vertical="top" wrapText="1"/>
    </xf>
    <xf numFmtId="3" fontId="41" fillId="0" borderId="0" xfId="43" applyNumberFormat="1" applyFont="1" applyFill="1" applyAlignment="1">
      <alignment vertical="top" wrapText="1"/>
    </xf>
    <xf numFmtId="0" fontId="41" fillId="0" borderId="0" xfId="0" applyFont="1" applyFill="1" applyAlignment="1">
      <alignment horizontal="right" vertical="top" wrapText="1"/>
    </xf>
    <xf numFmtId="6" fontId="41" fillId="0" borderId="0" xfId="0" applyNumberFormat="1" applyFont="1" applyFill="1" applyAlignment="1">
      <alignment vertical="top" wrapText="1"/>
    </xf>
    <xf numFmtId="3" fontId="41" fillId="0" borderId="0" xfId="0" applyNumberFormat="1" applyFont="1" applyFill="1" applyAlignment="1" applyProtection="1">
      <alignment horizontal="right" vertical="top" wrapText="1"/>
      <protection/>
    </xf>
    <xf numFmtId="174" fontId="41" fillId="0" borderId="0" xfId="0" applyNumberFormat="1" applyFont="1" applyFill="1" applyAlignment="1">
      <alignment vertical="top" wrapText="1"/>
    </xf>
    <xf numFmtId="3" fontId="41" fillId="0" borderId="0" xfId="0" applyNumberFormat="1" applyFont="1" applyFill="1" applyAlignment="1">
      <alignment vertical="top" wrapText="1"/>
    </xf>
    <xf numFmtId="0" fontId="73" fillId="0" borderId="0" xfId="0" applyFont="1" applyFill="1" applyAlignment="1">
      <alignment horizontal="center" vertical="top" wrapText="1"/>
    </xf>
    <xf numFmtId="0" fontId="76" fillId="0" borderId="0" xfId="40" applyFont="1" applyFill="1" applyAlignment="1">
      <alignment horizontal="right" vertical="top" wrapText="1"/>
      <protection/>
    </xf>
    <xf numFmtId="3" fontId="73" fillId="0" borderId="0" xfId="43" applyNumberFormat="1" applyFont="1" applyFill="1" applyAlignment="1">
      <alignment vertical="top" wrapText="1"/>
    </xf>
    <xf numFmtId="0" fontId="41" fillId="0" borderId="0" xfId="40" applyFont="1" applyFill="1" applyAlignment="1">
      <alignment horizontal="right" vertical="top" wrapText="1"/>
      <protection/>
    </xf>
    <xf numFmtId="6" fontId="41" fillId="0" borderId="0" xfId="45" applyNumberFormat="1" applyFont="1" applyFill="1" applyAlignment="1">
      <alignment vertical="top" wrapText="1"/>
    </xf>
    <xf numFmtId="3" fontId="41" fillId="0" borderId="0" xfId="45" applyNumberFormat="1" applyFont="1" applyFill="1" applyAlignment="1" applyProtection="1">
      <alignment horizontal="right" vertical="top" wrapText="1"/>
      <protection/>
    </xf>
    <xf numFmtId="174" fontId="41" fillId="0" borderId="0" xfId="45" applyNumberFormat="1" applyFont="1" applyFill="1" applyAlignment="1">
      <alignment vertical="top" wrapText="1"/>
    </xf>
    <xf numFmtId="3" fontId="41" fillId="0" borderId="0" xfId="45" applyNumberFormat="1" applyFont="1" applyFill="1" applyAlignment="1">
      <alignment vertical="top" wrapText="1"/>
    </xf>
    <xf numFmtId="5" fontId="41" fillId="0" borderId="0" xfId="0" applyNumberFormat="1" applyFont="1" applyFill="1" applyAlignment="1">
      <alignment vertical="top" wrapText="1"/>
    </xf>
    <xf numFmtId="0" fontId="41" fillId="0" borderId="0" xfId="40" applyFont="1" applyFill="1" applyAlignment="1">
      <alignment horizontal="left" vertical="top" wrapText="1"/>
      <protection/>
    </xf>
    <xf numFmtId="5" fontId="79" fillId="0" borderId="0" xfId="40" applyNumberFormat="1" applyFont="1" applyFill="1" applyAlignment="1">
      <alignment vertical="top" wrapText="1"/>
      <protection/>
    </xf>
    <xf numFmtId="3" fontId="79" fillId="0" borderId="0" xfId="40" applyNumberFormat="1" applyFont="1" applyFill="1" applyAlignment="1" applyProtection="1">
      <alignment horizontal="right" vertical="top" wrapText="1"/>
      <protection/>
    </xf>
    <xf numFmtId="174" fontId="41" fillId="0" borderId="0" xfId="40" applyNumberFormat="1" applyFont="1" applyFill="1" applyAlignment="1">
      <alignment vertical="top" wrapText="1"/>
      <protection/>
    </xf>
    <xf numFmtId="174" fontId="79" fillId="0" borderId="0" xfId="40" applyNumberFormat="1" applyFont="1" applyFill="1" applyAlignment="1">
      <alignment vertical="top" wrapText="1"/>
      <protection/>
    </xf>
    <xf numFmtId="3" fontId="41" fillId="0" borderId="0" xfId="40" applyNumberFormat="1" applyFont="1" applyFill="1" applyAlignment="1">
      <alignment vertical="top" wrapText="1"/>
      <protection/>
    </xf>
    <xf numFmtId="5" fontId="41" fillId="0" borderId="0" xfId="40" applyNumberFormat="1" applyFont="1" applyFill="1" applyAlignment="1">
      <alignment vertical="top" wrapText="1"/>
      <protection/>
    </xf>
    <xf numFmtId="0" fontId="41" fillId="0" borderId="0" xfId="40" applyFont="1" applyFill="1" applyAlignment="1">
      <alignment horizontal="center" vertical="top" wrapText="1"/>
      <protection/>
    </xf>
    <xf numFmtId="0" fontId="79" fillId="0" borderId="0" xfId="40" applyFont="1" applyFill="1" applyAlignment="1">
      <alignment vertical="top" wrapText="1"/>
      <protection/>
    </xf>
    <xf numFmtId="0" fontId="79" fillId="0" borderId="0" xfId="40" applyFont="1" applyFill="1" applyAlignment="1">
      <alignment horizontal="right" vertical="top" wrapText="1"/>
      <protection/>
    </xf>
    <xf numFmtId="3" fontId="79" fillId="0" borderId="0" xfId="40" applyNumberFormat="1" applyFont="1" applyFill="1" applyAlignment="1">
      <alignment vertical="top" wrapText="1"/>
      <protection/>
    </xf>
    <xf numFmtId="0" fontId="79" fillId="0" borderId="0" xfId="40" applyFont="1" applyFill="1" applyAlignment="1">
      <alignment horizontal="center" vertical="top" wrapText="1"/>
      <protection/>
    </xf>
    <xf numFmtId="0" fontId="79" fillId="0" borderId="0" xfId="40" applyFont="1" applyFill="1" applyBorder="1" applyAlignment="1">
      <alignment vertical="top" wrapText="1"/>
      <protection/>
    </xf>
    <xf numFmtId="174" fontId="73" fillId="0" borderId="0" xfId="40" applyNumberFormat="1" applyFont="1" applyFill="1" applyAlignment="1" applyProtection="1">
      <alignment horizontal="right" vertical="top" wrapText="1"/>
      <protection/>
    </xf>
    <xf numFmtId="3" fontId="73" fillId="0" borderId="0" xfId="40" applyNumberFormat="1" applyFont="1" applyFill="1" applyAlignment="1" applyProtection="1">
      <alignment horizontal="center" vertical="top" wrapText="1"/>
      <protection/>
    </xf>
    <xf numFmtId="5" fontId="32" fillId="0" borderId="0" xfId="45" applyNumberFormat="1" applyFont="1" applyFill="1" applyAlignment="1">
      <alignment vertical="top" wrapText="1"/>
    </xf>
    <xf numFmtId="3" fontId="41" fillId="0" borderId="0" xfId="40" applyNumberFormat="1" applyFont="1" applyFill="1" applyAlignment="1" applyProtection="1">
      <alignment horizontal="right" vertical="top" wrapText="1"/>
      <protection/>
    </xf>
    <xf numFmtId="174" fontId="41" fillId="0" borderId="0" xfId="43" applyNumberFormat="1" applyFont="1" applyFill="1" applyAlignment="1">
      <alignment vertical="top" wrapText="1"/>
    </xf>
    <xf numFmtId="0" fontId="32" fillId="0" borderId="0" xfId="40" applyFont="1" applyFill="1" applyAlignment="1">
      <alignment horizontal="right" vertical="top" wrapText="1"/>
      <protection/>
    </xf>
    <xf numFmtId="174" fontId="32" fillId="0" borderId="0" xfId="40" applyNumberFormat="1" applyFont="1" applyFill="1" applyAlignment="1">
      <alignment vertical="top" wrapText="1"/>
      <protection/>
    </xf>
    <xf numFmtId="3" fontId="32" fillId="0" borderId="0" xfId="40" applyNumberFormat="1" applyFont="1" applyFill="1" applyAlignment="1">
      <alignment vertical="top" wrapText="1"/>
      <protection/>
    </xf>
    <xf numFmtId="0" fontId="32" fillId="0" borderId="0" xfId="40" applyFont="1" applyFill="1" applyAlignment="1">
      <alignment horizontal="center" vertical="top" wrapText="1"/>
      <protection/>
    </xf>
    <xf numFmtId="0" fontId="32" fillId="0" borderId="0" xfId="40" applyFont="1" applyFill="1" applyBorder="1" applyAlignment="1">
      <alignment vertical="top" wrapText="1"/>
      <protection/>
    </xf>
    <xf numFmtId="0" fontId="72" fillId="0" borderId="0" xfId="40" applyFont="1" applyFill="1" applyAlignment="1">
      <alignment horizontal="left" vertical="top" wrapText="1"/>
      <protection/>
    </xf>
    <xf numFmtId="0" fontId="40" fillId="0" borderId="0" xfId="40" applyFont="1" applyFill="1" applyAlignment="1">
      <alignment horizontal="center" vertical="top" wrapText="1"/>
      <protection/>
    </xf>
    <xf numFmtId="0" fontId="40" fillId="0" borderId="0" xfId="40" applyFont="1" applyFill="1" applyBorder="1" applyAlignment="1">
      <alignment horizontal="right" vertical="top" wrapText="1"/>
      <protection/>
    </xf>
    <xf numFmtId="3" fontId="41" fillId="0" borderId="0" xfId="43" applyNumberFormat="1" applyFont="1" applyFill="1" applyAlignment="1">
      <alignment horizontal="center" vertical="top" wrapText="1"/>
    </xf>
    <xf numFmtId="0" fontId="40" fillId="0" borderId="0" xfId="40" applyFont="1" applyFill="1" applyBorder="1" applyAlignment="1">
      <alignment horizontal="left" vertical="top" wrapText="1"/>
      <protection/>
    </xf>
    <xf numFmtId="0" fontId="40" fillId="0" borderId="0" xfId="40" applyFont="1" applyFill="1" applyAlignment="1">
      <alignment horizontal="right" vertical="top" wrapText="1"/>
      <protection/>
    </xf>
    <xf numFmtId="6" fontId="73" fillId="0" borderId="12" xfId="40" applyNumberFormat="1" applyFont="1" applyFill="1" applyBorder="1" applyAlignment="1">
      <alignment vertical="top" wrapText="1"/>
      <protection/>
    </xf>
    <xf numFmtId="174" fontId="41" fillId="0" borderId="12" xfId="43" applyNumberFormat="1" applyFont="1" applyFill="1" applyBorder="1" applyAlignment="1">
      <alignment vertical="top" wrapText="1"/>
    </xf>
    <xf numFmtId="174" fontId="41" fillId="0" borderId="12" xfId="0" applyNumberFormat="1" applyFont="1" applyFill="1" applyBorder="1" applyAlignment="1">
      <alignment vertical="top" wrapText="1"/>
    </xf>
    <xf numFmtId="3" fontId="73" fillId="0" borderId="12" xfId="43" applyNumberFormat="1" applyFont="1" applyFill="1" applyBorder="1" applyAlignment="1">
      <alignment horizontal="center" vertical="top" wrapText="1"/>
    </xf>
    <xf numFmtId="3" fontId="41" fillId="0" borderId="12" xfId="43" applyNumberFormat="1" applyFont="1" applyFill="1" applyBorder="1" applyAlignment="1">
      <alignment horizontal="center" vertical="top" wrapText="1"/>
    </xf>
    <xf numFmtId="6" fontId="41" fillId="0" borderId="12" xfId="45" applyNumberFormat="1" applyFont="1" applyFill="1" applyBorder="1" applyAlignment="1">
      <alignment vertical="top" wrapText="1"/>
    </xf>
    <xf numFmtId="5" fontId="41" fillId="0" borderId="12" xfId="45" applyNumberFormat="1" applyFont="1" applyFill="1" applyBorder="1" applyAlignment="1">
      <alignment vertical="top" wrapText="1"/>
    </xf>
    <xf numFmtId="0" fontId="32" fillId="0" borderId="12" xfId="40" applyFont="1" applyFill="1" applyBorder="1" applyAlignment="1">
      <alignment vertical="top" wrapText="1"/>
      <protection/>
    </xf>
    <xf numFmtId="0" fontId="32" fillId="0" borderId="12" xfId="40" applyFont="1" applyFill="1" applyBorder="1" applyAlignment="1">
      <alignment horizontal="right" vertical="top" wrapText="1"/>
      <protection/>
    </xf>
    <xf numFmtId="174" fontId="32" fillId="0" borderId="12" xfId="40" applyNumberFormat="1" applyFont="1" applyFill="1" applyBorder="1" applyAlignment="1">
      <alignment vertical="top" wrapText="1"/>
      <protection/>
    </xf>
    <xf numFmtId="3" fontId="32" fillId="0" borderId="12" xfId="40" applyNumberFormat="1" applyFont="1" applyFill="1" applyBorder="1" applyAlignment="1">
      <alignment vertical="top" wrapText="1"/>
      <protection/>
    </xf>
    <xf numFmtId="0" fontId="32" fillId="0" borderId="12" xfId="40" applyFont="1" applyFill="1" applyBorder="1" applyAlignment="1">
      <alignment horizontal="center" vertical="top" wrapText="1"/>
      <protection/>
    </xf>
    <xf numFmtId="0" fontId="80" fillId="0" borderId="0" xfId="40" applyFont="1" applyFill="1" applyBorder="1" applyAlignment="1">
      <alignment horizontal="left" vertical="top" wrapText="1"/>
      <protection/>
    </xf>
    <xf numFmtId="3" fontId="73" fillId="0" borderId="0" xfId="43" applyNumberFormat="1" applyFont="1" applyFill="1" applyAlignment="1" applyProtection="1">
      <alignment horizontal="right" vertical="top" wrapText="1"/>
      <protection/>
    </xf>
    <xf numFmtId="174" fontId="73" fillId="0" borderId="0" xfId="63" applyNumberFormat="1" applyFont="1" applyFill="1" applyAlignment="1">
      <alignment vertical="top" wrapText="1"/>
    </xf>
    <xf numFmtId="3" fontId="73" fillId="0" borderId="0" xfId="63" applyNumberFormat="1" applyFont="1" applyFill="1" applyAlignment="1">
      <alignment horizontal="center" vertical="top" wrapText="1"/>
    </xf>
    <xf numFmtId="174" fontId="73" fillId="0" borderId="0" xfId="63" applyNumberFormat="1" applyFont="1" applyFill="1" applyAlignment="1">
      <alignment horizontal="right" vertical="top" wrapText="1"/>
    </xf>
    <xf numFmtId="0" fontId="41" fillId="0" borderId="0" xfId="40" applyFont="1" applyFill="1" applyBorder="1" applyAlignment="1">
      <alignment vertical="top" wrapText="1"/>
      <protection/>
    </xf>
    <xf numFmtId="0" fontId="41" fillId="0" borderId="0" xfId="40" applyFont="1" applyFill="1" applyAlignment="1">
      <alignment vertical="top" wrapText="1"/>
      <protection/>
    </xf>
    <xf numFmtId="174" fontId="73" fillId="0" borderId="0" xfId="0" applyNumberFormat="1" applyFont="1" applyFill="1" applyAlignment="1">
      <alignment horizontal="center" vertical="top" wrapText="1"/>
    </xf>
    <xf numFmtId="174" fontId="41" fillId="0" borderId="0" xfId="63" applyNumberFormat="1" applyFont="1" applyFill="1" applyAlignment="1">
      <alignment vertical="top" wrapText="1"/>
    </xf>
    <xf numFmtId="0" fontId="76" fillId="0" borderId="0" xfId="40" applyFont="1" applyFill="1" applyAlignment="1">
      <alignment horizontal="left" vertical="top" wrapText="1"/>
      <protection/>
    </xf>
    <xf numFmtId="0" fontId="72" fillId="0" borderId="0" xfId="40" applyFont="1" applyFill="1" applyBorder="1" applyAlignment="1">
      <alignment horizontal="left" vertical="top" wrapText="1"/>
      <protection/>
    </xf>
    <xf numFmtId="6" fontId="73" fillId="0" borderId="0" xfId="40" applyNumberFormat="1" applyFont="1" applyFill="1" applyBorder="1" applyAlignment="1">
      <alignment horizontal="left" vertical="top" wrapText="1"/>
      <protection/>
    </xf>
    <xf numFmtId="174" fontId="73" fillId="0" borderId="0" xfId="43" applyNumberFormat="1" applyFont="1" applyFill="1" applyBorder="1" applyAlignment="1">
      <alignment horizontal="left" vertical="top" wrapText="1"/>
    </xf>
    <xf numFmtId="3" fontId="73" fillId="0" borderId="0" xfId="43" applyNumberFormat="1" applyFont="1" applyFill="1" applyBorder="1" applyAlignment="1">
      <alignment horizontal="left" vertical="top" wrapText="1"/>
    </xf>
    <xf numFmtId="6" fontId="73" fillId="0" borderId="0" xfId="45" applyNumberFormat="1" applyFont="1" applyFill="1" applyBorder="1" applyAlignment="1">
      <alignment horizontal="left" vertical="top" wrapText="1"/>
    </xf>
    <xf numFmtId="5" fontId="73" fillId="0" borderId="0" xfId="45" applyNumberFormat="1" applyFont="1" applyFill="1" applyBorder="1" applyAlignment="1">
      <alignment horizontal="left" vertical="top" wrapText="1"/>
    </xf>
    <xf numFmtId="0" fontId="41" fillId="0" borderId="28" xfId="40" applyFont="1" applyFill="1" applyBorder="1" applyAlignment="1">
      <alignment horizontal="right" vertical="top" wrapText="1"/>
      <protection/>
    </xf>
    <xf numFmtId="6" fontId="73" fillId="0" borderId="28" xfId="40" applyNumberFormat="1" applyFont="1" applyFill="1" applyBorder="1" applyAlignment="1">
      <alignment vertical="top" wrapText="1"/>
      <protection/>
    </xf>
    <xf numFmtId="3" fontId="73" fillId="0" borderId="28" xfId="40" applyNumberFormat="1" applyFont="1" applyFill="1" applyBorder="1" applyAlignment="1" applyProtection="1">
      <alignment horizontal="right" vertical="top" wrapText="1"/>
      <protection/>
    </xf>
    <xf numFmtId="174" fontId="73" fillId="0" borderId="28" xfId="43" applyNumberFormat="1" applyFont="1" applyFill="1" applyBorder="1" applyAlignment="1">
      <alignment vertical="top" wrapText="1"/>
    </xf>
    <xf numFmtId="3" fontId="73" fillId="0" borderId="28" xfId="43" applyNumberFormat="1" applyFont="1" applyFill="1" applyBorder="1" applyAlignment="1">
      <alignment vertical="top" wrapText="1"/>
    </xf>
    <xf numFmtId="6" fontId="73" fillId="0" borderId="28" xfId="45" applyNumberFormat="1" applyFont="1" applyFill="1" applyBorder="1" applyAlignment="1">
      <alignment vertical="top" wrapText="1"/>
    </xf>
    <xf numFmtId="0" fontId="73" fillId="0" borderId="28" xfId="40" applyFont="1" applyFill="1" applyBorder="1" applyAlignment="1">
      <alignment horizontal="center" vertical="top" wrapText="1"/>
      <protection/>
    </xf>
    <xf numFmtId="5" fontId="73" fillId="0" borderId="28" xfId="45" applyNumberFormat="1" applyFont="1" applyFill="1" applyBorder="1" applyAlignment="1">
      <alignment vertical="top" wrapText="1"/>
    </xf>
    <xf numFmtId="0" fontId="73" fillId="0" borderId="0" xfId="0" applyFont="1" applyFill="1" applyAlignment="1">
      <alignment vertical="top" wrapText="1"/>
    </xf>
    <xf numFmtId="174" fontId="41" fillId="0" borderId="0" xfId="43" applyNumberFormat="1" applyFont="1" applyFill="1" applyAlignment="1">
      <alignment horizontal="right" vertical="top" wrapText="1"/>
    </xf>
    <xf numFmtId="174" fontId="73" fillId="0" borderId="28" xfId="43" applyNumberFormat="1" applyFont="1" applyFill="1" applyBorder="1" applyAlignment="1">
      <alignment horizontal="right" vertical="top" wrapText="1"/>
    </xf>
    <xf numFmtId="6" fontId="41" fillId="0" borderId="28" xfId="45" applyNumberFormat="1" applyFont="1" applyFill="1" applyBorder="1" applyAlignment="1">
      <alignment vertical="top" wrapText="1"/>
    </xf>
    <xf numFmtId="6" fontId="73" fillId="0" borderId="0" xfId="40" applyNumberFormat="1" applyFont="1" applyFill="1" applyBorder="1" applyAlignment="1">
      <alignment vertical="top" wrapText="1"/>
      <protection/>
    </xf>
    <xf numFmtId="174" fontId="41" fillId="0" borderId="0" xfId="43" applyNumberFormat="1" applyFont="1" applyFill="1" applyBorder="1" applyAlignment="1">
      <alignment vertical="top" wrapText="1"/>
    </xf>
    <xf numFmtId="174" fontId="73" fillId="0" borderId="0" xfId="43" applyNumberFormat="1" applyFont="1" applyFill="1" applyBorder="1" applyAlignment="1">
      <alignment horizontal="right" vertical="top" wrapText="1"/>
    </xf>
    <xf numFmtId="174" fontId="73" fillId="0" borderId="28" xfId="40" applyNumberFormat="1" applyFont="1" applyFill="1" applyBorder="1" applyAlignment="1">
      <alignment vertical="top" wrapText="1"/>
      <protection/>
    </xf>
    <xf numFmtId="174" fontId="73" fillId="0" borderId="28" xfId="40" applyNumberFormat="1" applyFont="1" applyFill="1" applyBorder="1" applyAlignment="1">
      <alignment horizontal="right" vertical="top" wrapText="1"/>
      <protection/>
    </xf>
    <xf numFmtId="6" fontId="41" fillId="0" borderId="28" xfId="40" applyNumberFormat="1" applyFont="1" applyFill="1" applyBorder="1" applyAlignment="1">
      <alignment vertical="top" wrapText="1"/>
      <protection/>
    </xf>
    <xf numFmtId="5" fontId="73" fillId="0" borderId="28" xfId="40" applyNumberFormat="1" applyFont="1" applyFill="1" applyBorder="1" applyAlignment="1">
      <alignment vertical="top" wrapText="1"/>
      <protection/>
    </xf>
    <xf numFmtId="0" fontId="41" fillId="0" borderId="0" xfId="40" applyFont="1" applyFill="1" applyBorder="1" applyAlignment="1">
      <alignment horizontal="right" vertical="top" wrapText="1"/>
      <protection/>
    </xf>
    <xf numFmtId="174" fontId="73" fillId="0" borderId="0" xfId="40" applyNumberFormat="1" applyFont="1" applyFill="1" applyBorder="1" applyAlignment="1">
      <alignment horizontal="right" vertical="top" wrapText="1"/>
      <protection/>
    </xf>
    <xf numFmtId="6" fontId="41" fillId="0" borderId="0" xfId="40" applyNumberFormat="1" applyFont="1" applyFill="1" applyBorder="1" applyAlignment="1">
      <alignment vertical="top" wrapText="1"/>
      <protection/>
    </xf>
    <xf numFmtId="5" fontId="73" fillId="0" borderId="0" xfId="40" applyNumberFormat="1" applyFont="1" applyFill="1" applyBorder="1" applyAlignment="1">
      <alignment vertical="top" wrapText="1"/>
      <protection/>
    </xf>
    <xf numFmtId="3" fontId="73" fillId="0" borderId="0" xfId="40" applyNumberFormat="1" applyFont="1" applyFill="1" applyBorder="1" applyAlignment="1">
      <alignment horizontal="right" vertical="top" wrapText="1"/>
      <protection/>
    </xf>
    <xf numFmtId="3" fontId="40" fillId="0" borderId="0" xfId="43" applyNumberFormat="1" applyFont="1" applyFill="1" applyAlignment="1">
      <alignment vertical="top" wrapText="1"/>
    </xf>
    <xf numFmtId="0" fontId="41" fillId="0" borderId="29" xfId="40" applyFont="1" applyFill="1" applyBorder="1" applyAlignment="1">
      <alignment horizontal="right" vertical="top" wrapText="1"/>
      <protection/>
    </xf>
    <xf numFmtId="0" fontId="73" fillId="0" borderId="29" xfId="40" applyFont="1" applyFill="1" applyBorder="1" applyAlignment="1">
      <alignment horizontal="center" vertical="top" wrapText="1"/>
      <protection/>
    </xf>
    <xf numFmtId="3" fontId="73" fillId="0" borderId="29" xfId="40" applyNumberFormat="1" applyFont="1" applyFill="1" applyBorder="1" applyAlignment="1" applyProtection="1">
      <alignment horizontal="right" vertical="top" wrapText="1"/>
      <protection/>
    </xf>
    <xf numFmtId="174" fontId="73" fillId="0" borderId="29" xfId="40" applyNumberFormat="1" applyFont="1" applyFill="1" applyBorder="1" applyAlignment="1">
      <alignment horizontal="center" vertical="top" wrapText="1"/>
      <protection/>
    </xf>
    <xf numFmtId="0" fontId="72" fillId="0" borderId="0" xfId="0" applyFont="1" applyFill="1" applyAlignment="1">
      <alignment horizontal="left" vertical="top" wrapText="1"/>
    </xf>
    <xf numFmtId="0" fontId="81" fillId="0" borderId="0" xfId="0" applyFont="1" applyFill="1" applyAlignment="1">
      <alignment vertical="top" wrapText="1"/>
    </xf>
    <xf numFmtId="3" fontId="81" fillId="0" borderId="0" xfId="0" applyNumberFormat="1" applyFont="1" applyFill="1" applyAlignment="1" applyProtection="1">
      <alignment horizontal="right" vertical="top" wrapText="1"/>
      <protection/>
    </xf>
    <xf numFmtId="174" fontId="81" fillId="0" borderId="0" xfId="0" applyNumberFormat="1" applyFont="1" applyFill="1" applyAlignment="1">
      <alignment vertical="top" wrapText="1"/>
    </xf>
    <xf numFmtId="3" fontId="73" fillId="0" borderId="0" xfId="0" applyNumberFormat="1" applyFont="1" applyFill="1" applyAlignment="1">
      <alignment vertical="top" wrapText="1"/>
    </xf>
    <xf numFmtId="3" fontId="32" fillId="0" borderId="0" xfId="43" applyNumberFormat="1" applyFont="1" applyFill="1" applyAlignment="1">
      <alignment vertical="top" wrapText="1"/>
    </xf>
    <xf numFmtId="174" fontId="73" fillId="0" borderId="0" xfId="45" applyNumberFormat="1" applyFont="1" applyFill="1" applyAlignment="1">
      <alignment vertical="top" wrapText="1"/>
    </xf>
    <xf numFmtId="6" fontId="32" fillId="0" borderId="0" xfId="45" applyNumberFormat="1" applyFont="1" applyFill="1" applyAlignment="1">
      <alignment horizontal="right" vertical="top" wrapText="1"/>
    </xf>
    <xf numFmtId="6" fontId="32" fillId="0" borderId="0" xfId="45" applyNumberFormat="1" applyFont="1" applyFill="1" applyAlignment="1">
      <alignment vertical="top" wrapText="1"/>
    </xf>
    <xf numFmtId="6" fontId="82" fillId="0" borderId="0" xfId="45" applyNumberFormat="1" applyFont="1" applyFill="1" applyAlignment="1">
      <alignment vertical="top" wrapText="1"/>
    </xf>
    <xf numFmtId="3" fontId="74" fillId="0" borderId="0" xfId="43" applyNumberFormat="1" applyFont="1" applyFill="1" applyAlignment="1">
      <alignment vertical="top" wrapText="1"/>
    </xf>
    <xf numFmtId="3" fontId="77" fillId="0" borderId="0" xfId="43" applyNumberFormat="1" applyFont="1" applyFill="1" applyAlignment="1">
      <alignment vertical="top" wrapText="1"/>
    </xf>
    <xf numFmtId="174" fontId="41" fillId="41" borderId="10" xfId="43" applyNumberFormat="1" applyFont="1" applyFill="1" applyBorder="1" applyAlignment="1">
      <alignment horizontal="center" vertical="top" wrapText="1"/>
    </xf>
    <xf numFmtId="174" fontId="73" fillId="41" borderId="11" xfId="43" applyNumberFormat="1" applyFont="1" applyFill="1" applyBorder="1" applyAlignment="1">
      <alignment vertical="top" wrapText="1"/>
    </xf>
    <xf numFmtId="174" fontId="73" fillId="41" borderId="12" xfId="43" applyNumberFormat="1" applyFont="1" applyFill="1" applyBorder="1" applyAlignment="1">
      <alignment vertical="top" wrapText="1"/>
    </xf>
    <xf numFmtId="174" fontId="73" fillId="41" borderId="0" xfId="43" applyNumberFormat="1" applyFont="1" applyFill="1" applyBorder="1" applyAlignment="1">
      <alignment vertical="top" wrapText="1"/>
    </xf>
    <xf numFmtId="174" fontId="73" fillId="41" borderId="0" xfId="0" applyNumberFormat="1" applyFont="1" applyFill="1" applyAlignment="1">
      <alignment vertical="top" wrapText="1"/>
    </xf>
    <xf numFmtId="174" fontId="41" fillId="41" borderId="0" xfId="0" applyNumberFormat="1" applyFont="1" applyFill="1" applyAlignment="1">
      <alignment vertical="top" wrapText="1"/>
    </xf>
    <xf numFmtId="174" fontId="73" fillId="41" borderId="0" xfId="43" applyNumberFormat="1" applyFont="1" applyFill="1" applyAlignment="1">
      <alignment vertical="top" wrapText="1"/>
    </xf>
    <xf numFmtId="174" fontId="41" fillId="41" borderId="0" xfId="45" applyNumberFormat="1" applyFont="1" applyFill="1" applyAlignment="1">
      <alignment vertical="top" wrapText="1"/>
    </xf>
    <xf numFmtId="174" fontId="41" fillId="41" borderId="0" xfId="40" applyNumberFormat="1" applyFont="1" applyFill="1" applyAlignment="1">
      <alignment vertical="top" wrapText="1"/>
      <protection/>
    </xf>
    <xf numFmtId="174" fontId="41" fillId="41" borderId="0" xfId="43" applyNumberFormat="1" applyFont="1" applyFill="1" applyAlignment="1">
      <alignment vertical="top" wrapText="1"/>
    </xf>
    <xf numFmtId="174" fontId="41" fillId="41" borderId="12" xfId="0" applyNumberFormat="1" applyFont="1" applyFill="1" applyBorder="1" applyAlignment="1">
      <alignment vertical="top" wrapText="1"/>
    </xf>
    <xf numFmtId="174" fontId="73" fillId="41" borderId="0" xfId="43" applyNumberFormat="1" applyFont="1" applyFill="1" applyBorder="1" applyAlignment="1">
      <alignment horizontal="left" vertical="top" wrapText="1"/>
    </xf>
    <xf numFmtId="174" fontId="41" fillId="41" borderId="28" xfId="43" applyNumberFormat="1" applyFont="1" applyFill="1" applyBorder="1" applyAlignment="1">
      <alignment vertical="top" wrapText="1"/>
    </xf>
    <xf numFmtId="174" fontId="41" fillId="41" borderId="28" xfId="40" applyNumberFormat="1" applyFont="1" applyFill="1" applyBorder="1" applyAlignment="1">
      <alignment vertical="top" wrapText="1"/>
      <protection/>
    </xf>
    <xf numFmtId="174" fontId="73" fillId="41" borderId="0" xfId="40" applyNumberFormat="1" applyFont="1" applyFill="1" applyBorder="1" applyAlignment="1">
      <alignment vertical="top" wrapText="1"/>
      <protection/>
    </xf>
    <xf numFmtId="174" fontId="73" fillId="41" borderId="29" xfId="40" applyNumberFormat="1" applyFont="1" applyFill="1" applyBorder="1" applyAlignment="1">
      <alignment horizontal="center" vertical="top" wrapText="1"/>
      <protection/>
    </xf>
    <xf numFmtId="0" fontId="41" fillId="41" borderId="10" xfId="40" applyFont="1" applyFill="1" applyBorder="1" applyAlignment="1">
      <alignment horizontal="center" vertical="top" wrapText="1"/>
      <protection/>
    </xf>
    <xf numFmtId="0" fontId="73" fillId="41" borderId="11" xfId="40" applyFont="1" applyFill="1" applyBorder="1" applyAlignment="1">
      <alignment vertical="top" wrapText="1"/>
      <protection/>
    </xf>
    <xf numFmtId="0" fontId="73" fillId="41" borderId="12" xfId="40" applyFont="1" applyFill="1" applyBorder="1" applyAlignment="1">
      <alignment vertical="top" wrapText="1"/>
      <protection/>
    </xf>
    <xf numFmtId="0" fontId="73" fillId="41" borderId="0" xfId="40" applyFont="1" applyFill="1" applyBorder="1" applyAlignment="1">
      <alignment vertical="top" wrapText="1"/>
      <protection/>
    </xf>
    <xf numFmtId="6" fontId="41" fillId="41" borderId="0" xfId="0" applyNumberFormat="1" applyFont="1" applyFill="1" applyAlignment="1">
      <alignment vertical="top" wrapText="1"/>
    </xf>
    <xf numFmtId="6" fontId="41" fillId="41" borderId="0" xfId="45" applyNumberFormat="1" applyFont="1" applyFill="1" applyAlignment="1">
      <alignment vertical="top" wrapText="1"/>
    </xf>
    <xf numFmtId="5" fontId="79" fillId="41" borderId="0" xfId="40" applyNumberFormat="1" applyFont="1" applyFill="1" applyAlignment="1">
      <alignment vertical="top" wrapText="1"/>
      <protection/>
    </xf>
    <xf numFmtId="6" fontId="31" fillId="41" borderId="0" xfId="40" applyNumberFormat="1" applyFont="1" applyFill="1" applyAlignment="1">
      <alignment vertical="top" wrapText="1"/>
      <protection/>
    </xf>
    <xf numFmtId="6" fontId="41" fillId="41" borderId="0" xfId="40" applyNumberFormat="1" applyFont="1" applyFill="1" applyAlignment="1">
      <alignment vertical="top" wrapText="1"/>
      <protection/>
    </xf>
    <xf numFmtId="0" fontId="73" fillId="41" borderId="12" xfId="40" applyFont="1" applyFill="1" applyBorder="1" applyAlignment="1">
      <alignment horizontal="center" vertical="top" wrapText="1"/>
      <protection/>
    </xf>
    <xf numFmtId="6" fontId="73" fillId="41" borderId="12" xfId="40" applyNumberFormat="1" applyFont="1" applyFill="1" applyBorder="1" applyAlignment="1">
      <alignment vertical="top" wrapText="1"/>
      <protection/>
    </xf>
    <xf numFmtId="3" fontId="41" fillId="41" borderId="10" xfId="40" applyNumberFormat="1" applyFont="1" applyFill="1" applyBorder="1" applyAlignment="1" applyProtection="1">
      <alignment horizontal="center" vertical="top" wrapText="1"/>
      <protection/>
    </xf>
    <xf numFmtId="3" fontId="73" fillId="41" borderId="11" xfId="40" applyNumberFormat="1" applyFont="1" applyFill="1" applyBorder="1" applyAlignment="1" applyProtection="1">
      <alignment horizontal="right" vertical="top" wrapText="1"/>
      <protection/>
    </xf>
    <xf numFmtId="3" fontId="73" fillId="41" borderId="12" xfId="40" applyNumberFormat="1" applyFont="1" applyFill="1" applyBorder="1" applyAlignment="1" applyProtection="1">
      <alignment horizontal="right" vertical="top" wrapText="1"/>
      <protection/>
    </xf>
    <xf numFmtId="3" fontId="73" fillId="41" borderId="0" xfId="40" applyNumberFormat="1" applyFont="1" applyFill="1" applyBorder="1" applyAlignment="1" applyProtection="1">
      <alignment horizontal="right" vertical="top" wrapText="1"/>
      <protection/>
    </xf>
    <xf numFmtId="38" fontId="73" fillId="41" borderId="0" xfId="43" applyNumberFormat="1" applyFont="1" applyFill="1" applyAlignment="1">
      <alignment horizontal="right" vertical="top" wrapText="1"/>
    </xf>
    <xf numFmtId="3" fontId="41" fillId="41" borderId="0" xfId="0" applyNumberFormat="1" applyFont="1" applyFill="1" applyAlignment="1" applyProtection="1">
      <alignment horizontal="right" vertical="top" wrapText="1"/>
      <protection/>
    </xf>
    <xf numFmtId="3" fontId="41" fillId="41" borderId="0" xfId="45" applyNumberFormat="1" applyFont="1" applyFill="1" applyAlignment="1" applyProtection="1">
      <alignment horizontal="right" vertical="top" wrapText="1"/>
      <protection/>
    </xf>
    <xf numFmtId="3" fontId="79" fillId="41" borderId="0" xfId="40" applyNumberFormat="1" applyFont="1" applyFill="1" applyAlignment="1" applyProtection="1">
      <alignment horizontal="right" vertical="top" wrapText="1"/>
      <protection/>
    </xf>
    <xf numFmtId="3" fontId="41" fillId="41" borderId="0" xfId="40" applyNumberFormat="1" applyFont="1" applyFill="1" applyAlignment="1" applyProtection="1">
      <alignment horizontal="right" vertical="top" wrapText="1"/>
      <protection/>
    </xf>
    <xf numFmtId="3" fontId="73" fillId="41" borderId="0" xfId="43" applyNumberFormat="1" applyFont="1" applyFill="1" applyAlignment="1">
      <alignment horizontal="right" vertical="top" wrapText="1"/>
    </xf>
    <xf numFmtId="3" fontId="73" fillId="41" borderId="0" xfId="43" applyNumberFormat="1" applyFont="1" applyFill="1" applyAlignment="1" applyProtection="1">
      <alignment horizontal="right" vertical="top" wrapText="1"/>
      <protection/>
    </xf>
    <xf numFmtId="174" fontId="73" fillId="41" borderId="0" xfId="40" applyNumberFormat="1" applyFont="1" applyFill="1" applyAlignment="1" applyProtection="1">
      <alignment horizontal="right" vertical="top" wrapText="1"/>
      <protection/>
    </xf>
    <xf numFmtId="174" fontId="41" fillId="41" borderId="12" xfId="43" applyNumberFormat="1" applyFont="1" applyFill="1" applyBorder="1" applyAlignment="1">
      <alignment vertical="top" wrapText="1"/>
    </xf>
    <xf numFmtId="174" fontId="73" fillId="41" borderId="0" xfId="63" applyNumberFormat="1" applyFont="1" applyFill="1" applyAlignment="1">
      <alignment vertical="top" wrapText="1"/>
    </xf>
    <xf numFmtId="174" fontId="41" fillId="41" borderId="0" xfId="63" applyNumberFormat="1" applyFont="1" applyFill="1" applyAlignment="1">
      <alignment vertical="top" wrapText="1"/>
    </xf>
    <xf numFmtId="174" fontId="79" fillId="41" borderId="0" xfId="40" applyNumberFormat="1" applyFont="1" applyFill="1" applyAlignment="1">
      <alignment vertical="top" wrapText="1"/>
      <protection/>
    </xf>
    <xf numFmtId="0" fontId="41" fillId="0" borderId="28" xfId="40" applyFont="1" applyFill="1" applyBorder="1" applyAlignment="1">
      <alignment horizontal="left" vertical="top" wrapText="1"/>
      <protection/>
    </xf>
    <xf numFmtId="174" fontId="41" fillId="41" borderId="10" xfId="40" applyNumberFormat="1" applyFont="1" applyFill="1" applyBorder="1" applyAlignment="1">
      <alignment horizontal="center" vertical="top" wrapText="1"/>
      <protection/>
    </xf>
    <xf numFmtId="174" fontId="73" fillId="41" borderId="0" xfId="40" applyNumberFormat="1" applyFont="1" applyFill="1" applyAlignment="1">
      <alignment vertical="top" wrapText="1"/>
      <protection/>
    </xf>
    <xf numFmtId="174" fontId="32" fillId="41" borderId="12" xfId="40" applyNumberFormat="1" applyFont="1" applyFill="1" applyBorder="1" applyAlignment="1">
      <alignment vertical="top" wrapText="1"/>
      <protection/>
    </xf>
    <xf numFmtId="174" fontId="41" fillId="0" borderId="28" xfId="43" applyNumberFormat="1" applyFont="1" applyFill="1" applyBorder="1" applyAlignment="1">
      <alignment vertical="top" wrapText="1"/>
    </xf>
    <xf numFmtId="174" fontId="41" fillId="0" borderId="28" xfId="40" applyNumberFormat="1" applyFont="1" applyFill="1" applyBorder="1" applyAlignment="1">
      <alignment vertical="top" wrapText="1"/>
      <protection/>
    </xf>
    <xf numFmtId="0" fontId="94" fillId="0" borderId="38" xfId="0" applyFont="1" applyFill="1" applyBorder="1" applyAlignment="1">
      <alignment horizontal="center" wrapText="1"/>
    </xf>
    <xf numFmtId="0" fontId="94" fillId="42" borderId="38" xfId="0" applyFont="1" applyFill="1" applyBorder="1" applyAlignment="1">
      <alignment horizontal="center" wrapText="1"/>
    </xf>
    <xf numFmtId="0" fontId="141" fillId="0" borderId="38" xfId="0" applyFont="1" applyFill="1" applyBorder="1" applyAlignment="1">
      <alignment horizontal="center" wrapText="1"/>
    </xf>
    <xf numFmtId="0" fontId="94" fillId="0" borderId="38" xfId="0" applyFont="1" applyFill="1" applyBorder="1" applyAlignment="1">
      <alignment wrapText="1"/>
    </xf>
    <xf numFmtId="0" fontId="94" fillId="42" borderId="38" xfId="0" applyFont="1" applyFill="1" applyBorder="1" applyAlignment="1">
      <alignment wrapText="1"/>
    </xf>
    <xf numFmtId="177" fontId="94" fillId="42" borderId="38" xfId="0" applyNumberFormat="1" applyFont="1" applyFill="1" applyBorder="1" applyAlignment="1">
      <alignment wrapText="1"/>
    </xf>
    <xf numFmtId="177" fontId="94" fillId="0" borderId="38" xfId="0" applyNumberFormat="1" applyFont="1" applyFill="1" applyBorder="1" applyAlignment="1">
      <alignment wrapText="1"/>
    </xf>
    <xf numFmtId="177" fontId="141" fillId="43" borderId="38" xfId="0" applyNumberFormat="1" applyFont="1" applyFill="1" applyBorder="1" applyAlignment="1">
      <alignment wrapText="1"/>
    </xf>
    <xf numFmtId="0" fontId="94" fillId="44" borderId="38" xfId="0" applyFont="1" applyFill="1" applyBorder="1" applyAlignment="1">
      <alignment wrapText="1"/>
    </xf>
    <xf numFmtId="177" fontId="142" fillId="0" borderId="38" xfId="0" applyNumberFormat="1" applyFont="1" applyFill="1" applyBorder="1" applyAlignment="1">
      <alignment/>
    </xf>
    <xf numFmtId="0" fontId="141" fillId="43" borderId="38" xfId="0" applyFont="1" applyFill="1" applyBorder="1" applyAlignment="1">
      <alignment horizontal="center" wrapText="1"/>
    </xf>
    <xf numFmtId="0" fontId="94" fillId="44" borderId="38" xfId="0" applyFont="1" applyFill="1" applyBorder="1" applyAlignment="1">
      <alignment horizontal="center" wrapText="1"/>
    </xf>
    <xf numFmtId="177" fontId="141" fillId="0" borderId="38" xfId="0" applyNumberFormat="1" applyFont="1" applyFill="1" applyBorder="1" applyAlignment="1">
      <alignment wrapText="1"/>
    </xf>
    <xf numFmtId="0" fontId="32" fillId="45" borderId="38" xfId="0" applyFont="1" applyFill="1" applyBorder="1" applyAlignment="1">
      <alignment wrapText="1"/>
    </xf>
    <xf numFmtId="177" fontId="32" fillId="45" borderId="38" xfId="0" applyNumberFormat="1" applyFont="1" applyFill="1" applyBorder="1" applyAlignment="1">
      <alignment wrapText="1"/>
    </xf>
    <xf numFmtId="0" fontId="141" fillId="46" borderId="38" xfId="0" applyFont="1" applyFill="1" applyBorder="1" applyAlignment="1">
      <alignment horizontal="center" wrapText="1"/>
    </xf>
    <xf numFmtId="0" fontId="94" fillId="47" borderId="38" xfId="0" applyFont="1" applyFill="1" applyBorder="1" applyAlignment="1">
      <alignment horizontal="center" wrapText="1"/>
    </xf>
    <xf numFmtId="177" fontId="141" fillId="46" borderId="38" xfId="0" applyNumberFormat="1" applyFont="1" applyFill="1" applyBorder="1" applyAlignment="1">
      <alignment wrapText="1"/>
    </xf>
    <xf numFmtId="0" fontId="94" fillId="47" borderId="38" xfId="0" applyFont="1" applyFill="1" applyBorder="1" applyAlignment="1">
      <alignment wrapText="1"/>
    </xf>
    <xf numFmtId="0" fontId="143" fillId="0" borderId="38" xfId="0" applyFont="1" applyFill="1" applyBorder="1" applyAlignment="1">
      <alignment/>
    </xf>
    <xf numFmtId="49" fontId="144" fillId="45" borderId="38" xfId="0" applyNumberFormat="1" applyFont="1" applyFill="1" applyBorder="1" applyAlignment="1">
      <alignment wrapText="1"/>
    </xf>
    <xf numFmtId="177" fontId="144" fillId="45" borderId="38" xfId="0" applyNumberFormat="1" applyFont="1" applyFill="1" applyBorder="1" applyAlignment="1">
      <alignment/>
    </xf>
    <xf numFmtId="0" fontId="144" fillId="45" borderId="38" xfId="0" applyFont="1" applyFill="1" applyBorder="1" applyAlignment="1">
      <alignment/>
    </xf>
    <xf numFmtId="0" fontId="145" fillId="0" borderId="38" xfId="0" applyFont="1" applyFill="1" applyBorder="1" applyAlignment="1">
      <alignment/>
    </xf>
    <xf numFmtId="177" fontId="32" fillId="48" borderId="38" xfId="0" applyNumberFormat="1" applyFont="1" applyFill="1" applyBorder="1" applyAlignment="1">
      <alignment wrapText="1"/>
    </xf>
    <xf numFmtId="174" fontId="73" fillId="49" borderId="0" xfId="0" applyNumberFormat="1" applyFont="1" applyFill="1" applyAlignment="1">
      <alignment vertical="top" wrapText="1"/>
    </xf>
    <xf numFmtId="6" fontId="41" fillId="0" borderId="0" xfId="45" applyNumberFormat="1" applyFont="1" applyFill="1" applyBorder="1" applyAlignment="1">
      <alignment vertical="top" wrapText="1"/>
    </xf>
    <xf numFmtId="3" fontId="41" fillId="41" borderId="10" xfId="43" applyNumberFormat="1" applyFont="1" applyFill="1" applyBorder="1" applyAlignment="1">
      <alignment horizontal="center" vertical="top" wrapText="1"/>
    </xf>
    <xf numFmtId="3" fontId="73" fillId="41" borderId="0" xfId="40" applyNumberFormat="1" applyFont="1" applyFill="1" applyAlignment="1">
      <alignment vertical="top" wrapText="1"/>
      <protection/>
    </xf>
    <xf numFmtId="3" fontId="79" fillId="41" borderId="0" xfId="40" applyNumberFormat="1" applyFont="1" applyFill="1" applyAlignment="1">
      <alignment vertical="top" wrapText="1"/>
      <protection/>
    </xf>
    <xf numFmtId="3" fontId="32" fillId="41" borderId="12" xfId="40" applyNumberFormat="1" applyFont="1" applyFill="1" applyBorder="1" applyAlignment="1">
      <alignment vertical="top" wrapText="1"/>
      <protection/>
    </xf>
    <xf numFmtId="8" fontId="78" fillId="0" borderId="0" xfId="0" applyNumberFormat="1" applyFont="1" applyAlignment="1">
      <alignment/>
    </xf>
    <xf numFmtId="0" fontId="146" fillId="0" borderId="0" xfId="40" applyFont="1" applyAlignment="1">
      <alignment horizontal="right" vertical="top" wrapText="1"/>
      <protection/>
    </xf>
    <xf numFmtId="3" fontId="73" fillId="50" borderId="0" xfId="40" applyNumberFormat="1" applyFont="1" applyFill="1" applyAlignment="1" applyProtection="1">
      <alignment horizontal="right" vertical="top" wrapText="1"/>
      <protection/>
    </xf>
    <xf numFmtId="9" fontId="73" fillId="51" borderId="0" xfId="40" applyNumberFormat="1" applyFont="1" applyFill="1" applyBorder="1" applyAlignment="1">
      <alignment horizontal="right" vertical="top" wrapText="1"/>
      <protection/>
    </xf>
    <xf numFmtId="13" fontId="73" fillId="0" borderId="0" xfId="40" applyNumberFormat="1" applyFont="1" applyFill="1" applyAlignment="1">
      <alignment vertical="top" wrapText="1"/>
      <protection/>
    </xf>
    <xf numFmtId="174" fontId="41" fillId="41" borderId="0" xfId="43" applyNumberFormat="1" applyFont="1" applyFill="1" applyBorder="1" applyAlignment="1">
      <alignment vertical="top" wrapText="1"/>
    </xf>
    <xf numFmtId="6" fontId="73" fillId="41" borderId="0" xfId="40" applyNumberFormat="1" applyFont="1" applyFill="1" applyAlignment="1">
      <alignment vertical="top" wrapText="1"/>
      <protection/>
    </xf>
    <xf numFmtId="3" fontId="73" fillId="41" borderId="0" xfId="40" applyNumberFormat="1" applyFont="1" applyFill="1" applyAlignment="1" applyProtection="1">
      <alignment horizontal="right" vertical="top" wrapText="1"/>
      <protection/>
    </xf>
    <xf numFmtId="174" fontId="32" fillId="41" borderId="0" xfId="40" applyNumberFormat="1" applyFont="1" applyFill="1" applyAlignment="1">
      <alignment vertical="top" wrapText="1"/>
      <protection/>
    </xf>
    <xf numFmtId="3" fontId="32" fillId="41" borderId="0" xfId="40" applyNumberFormat="1" applyFont="1" applyFill="1" applyAlignment="1">
      <alignment vertical="top" wrapText="1"/>
      <protection/>
    </xf>
    <xf numFmtId="6" fontId="73" fillId="50" borderId="0" xfId="40" applyNumberFormat="1" applyFont="1" applyFill="1" applyAlignment="1">
      <alignment vertical="top" wrapText="1"/>
      <protection/>
    </xf>
    <xf numFmtId="174" fontId="41" fillId="41" borderId="0" xfId="40" applyNumberFormat="1" applyFont="1" applyFill="1" applyBorder="1" applyAlignment="1">
      <alignment vertical="top" wrapText="1"/>
      <protection/>
    </xf>
    <xf numFmtId="174" fontId="41" fillId="0" borderId="0" xfId="40" applyNumberFormat="1" applyFont="1" applyFill="1" applyBorder="1" applyAlignment="1">
      <alignment vertical="top" wrapText="1"/>
      <protection/>
    </xf>
    <xf numFmtId="3" fontId="147" fillId="50" borderId="0" xfId="0" applyNumberFormat="1" applyFont="1" applyFill="1" applyAlignment="1">
      <alignment vertical="center"/>
    </xf>
    <xf numFmtId="0" fontId="147" fillId="50" borderId="0" xfId="0" applyFont="1" applyFill="1" applyAlignment="1">
      <alignment vertical="center"/>
    </xf>
    <xf numFmtId="0" fontId="147" fillId="50" borderId="0" xfId="0" applyFont="1" applyFill="1" applyAlignment="1">
      <alignment/>
    </xf>
    <xf numFmtId="0" fontId="148" fillId="0" borderId="0" xfId="0" applyFont="1" applyAlignment="1">
      <alignment/>
    </xf>
    <xf numFmtId="177" fontId="148" fillId="0" borderId="0" xfId="0" applyNumberFormat="1" applyFont="1" applyAlignment="1">
      <alignment/>
    </xf>
    <xf numFmtId="14" fontId="148" fillId="0" borderId="0" xfId="0" applyNumberFormat="1" applyFont="1" applyAlignment="1">
      <alignment/>
    </xf>
    <xf numFmtId="0" fontId="0" fillId="0" borderId="0" xfId="0" applyAlignment="1" quotePrefix="1">
      <alignment/>
    </xf>
    <xf numFmtId="14" fontId="0" fillId="0" borderId="0" xfId="0" applyNumberFormat="1" applyAlignment="1">
      <alignment/>
    </xf>
    <xf numFmtId="8" fontId="137" fillId="0" borderId="0" xfId="0" applyNumberFormat="1" applyFont="1" applyAlignment="1">
      <alignment/>
    </xf>
    <xf numFmtId="174" fontId="73" fillId="50" borderId="0" xfId="43" applyNumberFormat="1" applyFont="1" applyFill="1" applyBorder="1" applyAlignment="1">
      <alignment vertical="top" wrapText="1"/>
    </xf>
    <xf numFmtId="174" fontId="31" fillId="0" borderId="0" xfId="0" applyNumberFormat="1" applyFont="1" applyFill="1" applyAlignment="1">
      <alignment vertical="top" wrapText="1"/>
    </xf>
    <xf numFmtId="177" fontId="137" fillId="0" borderId="0" xfId="0" applyNumberFormat="1" applyFont="1" applyAlignment="1">
      <alignment/>
    </xf>
    <xf numFmtId="0" fontId="31" fillId="0" borderId="0" xfId="40" applyFont="1" applyAlignment="1">
      <alignment horizontal="right"/>
      <protection/>
    </xf>
    <xf numFmtId="6" fontId="31" fillId="0" borderId="0" xfId="45" applyNumberFormat="1" applyFont="1" applyAlignment="1">
      <alignment/>
    </xf>
    <xf numFmtId="0" fontId="32" fillId="0" borderId="0" xfId="40" applyFont="1" applyAlignment="1">
      <alignment horizontal="right"/>
      <protection/>
    </xf>
    <xf numFmtId="6" fontId="32" fillId="0" borderId="0" xfId="0" applyNumberFormat="1" applyFont="1" applyAlignment="1">
      <alignment/>
    </xf>
    <xf numFmtId="8" fontId="31" fillId="0" borderId="0" xfId="45" applyNumberFormat="1" applyFont="1" applyAlignment="1">
      <alignment/>
    </xf>
    <xf numFmtId="6" fontId="32" fillId="0" borderId="0" xfId="45" applyNumberFormat="1" applyFont="1" applyAlignment="1">
      <alignment/>
    </xf>
    <xf numFmtId="8" fontId="32" fillId="0" borderId="0" xfId="0" applyNumberFormat="1" applyFont="1" applyAlignment="1">
      <alignment/>
    </xf>
    <xf numFmtId="0" fontId="32" fillId="0" borderId="0" xfId="0" applyFont="1" applyAlignment="1">
      <alignment horizontal="left"/>
    </xf>
    <xf numFmtId="0" fontId="32" fillId="0" borderId="0" xfId="0" applyFont="1" applyFill="1" applyAlignment="1">
      <alignment horizontal="right"/>
    </xf>
    <xf numFmtId="8" fontId="31" fillId="0" borderId="0" xfId="45" applyNumberFormat="1" applyFont="1" applyFill="1" applyAlignment="1">
      <alignment/>
    </xf>
    <xf numFmtId="0" fontId="31" fillId="0" borderId="0" xfId="0" applyFont="1" applyFill="1" applyBorder="1" applyAlignment="1">
      <alignment horizontal="centerContinuous"/>
    </xf>
    <xf numFmtId="0" fontId="31" fillId="0" borderId="0" xfId="0" applyFont="1" applyBorder="1" applyAlignment="1">
      <alignment/>
    </xf>
    <xf numFmtId="8" fontId="31" fillId="0" borderId="0" xfId="0" applyNumberFormat="1" applyFont="1" applyAlignment="1">
      <alignment/>
    </xf>
    <xf numFmtId="2" fontId="31" fillId="0" borderId="0" xfId="0" applyNumberFormat="1" applyFont="1" applyAlignment="1">
      <alignment/>
    </xf>
    <xf numFmtId="177" fontId="32" fillId="0" borderId="0" xfId="0" applyNumberFormat="1" applyFont="1" applyAlignment="1">
      <alignment/>
    </xf>
    <xf numFmtId="177" fontId="32" fillId="0" borderId="0" xfId="45" applyNumberFormat="1" applyFont="1" applyAlignment="1">
      <alignment/>
    </xf>
    <xf numFmtId="0" fontId="31" fillId="0" borderId="0" xfId="40" applyFont="1" applyFill="1" applyAlignment="1">
      <alignment horizontal="right" vertical="top" wrapText="1"/>
      <protection/>
    </xf>
    <xf numFmtId="174" fontId="41" fillId="0" borderId="28" xfId="0" applyNumberFormat="1" applyFont="1" applyFill="1" applyBorder="1" applyAlignment="1">
      <alignment vertical="top" wrapText="1"/>
    </xf>
    <xf numFmtId="174" fontId="41" fillId="41" borderId="28" xfId="0" applyNumberFormat="1" applyFont="1" applyFill="1" applyBorder="1" applyAlignment="1">
      <alignment vertical="top" wrapText="1"/>
    </xf>
    <xf numFmtId="3" fontId="73" fillId="0" borderId="28" xfId="43" applyNumberFormat="1" applyFont="1" applyFill="1" applyBorder="1" applyAlignment="1">
      <alignment horizontal="center" vertical="top" wrapText="1"/>
    </xf>
    <xf numFmtId="0" fontId="72" fillId="0" borderId="29" xfId="40" applyFont="1" applyFill="1" applyBorder="1" applyAlignment="1">
      <alignment horizontal="left" vertical="top" wrapText="1"/>
      <protection/>
    </xf>
    <xf numFmtId="0" fontId="73" fillId="0" borderId="39" xfId="0" applyFont="1" applyBorder="1" applyAlignment="1">
      <alignment vertical="top" wrapText="1"/>
    </xf>
    <xf numFmtId="43" fontId="73" fillId="0" borderId="40" xfId="0" applyNumberFormat="1" applyFont="1" applyBorder="1" applyAlignment="1">
      <alignment vertical="top"/>
    </xf>
    <xf numFmtId="43" fontId="73" fillId="0" borderId="40" xfId="0" applyNumberFormat="1" applyFont="1" applyFill="1" applyBorder="1" applyAlignment="1">
      <alignment vertical="top" wrapText="1"/>
    </xf>
    <xf numFmtId="43" fontId="73" fillId="0" borderId="40" xfId="0" applyNumberFormat="1" applyFont="1" applyBorder="1" applyAlignment="1">
      <alignment vertical="top" wrapText="1"/>
    </xf>
    <xf numFmtId="0" fontId="73" fillId="0" borderId="39" xfId="0" applyFont="1" applyBorder="1" applyAlignment="1">
      <alignment vertical="top"/>
    </xf>
    <xf numFmtId="43" fontId="73" fillId="0" borderId="40" xfId="0" applyNumberFormat="1" applyFont="1" applyFill="1" applyBorder="1" applyAlignment="1">
      <alignment vertical="top"/>
    </xf>
    <xf numFmtId="174" fontId="149" fillId="0" borderId="0" xfId="43" applyNumberFormat="1" applyFont="1" applyFill="1" applyBorder="1" applyAlignment="1">
      <alignment vertical="top" wrapText="1"/>
    </xf>
    <xf numFmtId="174" fontId="149" fillId="0" borderId="0" xfId="40" applyNumberFormat="1" applyFont="1" applyFill="1" applyBorder="1" applyAlignment="1">
      <alignment vertical="top" wrapText="1"/>
      <protection/>
    </xf>
    <xf numFmtId="174" fontId="149" fillId="0" borderId="0" xfId="0" applyNumberFormat="1" applyFont="1" applyFill="1" applyAlignment="1">
      <alignment vertical="top" wrapText="1"/>
    </xf>
    <xf numFmtId="3" fontId="73" fillId="0" borderId="0" xfId="43" applyNumberFormat="1" applyFont="1" applyFill="1" applyBorder="1" applyAlignment="1">
      <alignment horizontal="center" vertical="top" wrapText="1"/>
    </xf>
    <xf numFmtId="5" fontId="73" fillId="0" borderId="0" xfId="40" applyNumberFormat="1" applyFont="1" applyFill="1" applyBorder="1" applyAlignment="1">
      <alignment horizontal="center" vertical="top" wrapText="1"/>
      <protection/>
    </xf>
    <xf numFmtId="0" fontId="73" fillId="0" borderId="29" xfId="0" applyFont="1" applyFill="1" applyBorder="1" applyAlignment="1">
      <alignment horizontal="center" vertical="top" wrapText="1"/>
    </xf>
    <xf numFmtId="6" fontId="73" fillId="0" borderId="29" xfId="45" applyNumberFormat="1" applyFont="1" applyFill="1" applyBorder="1" applyAlignment="1">
      <alignment vertical="top" wrapText="1"/>
    </xf>
    <xf numFmtId="5" fontId="73" fillId="0" borderId="29" xfId="45" applyNumberFormat="1" applyFont="1" applyFill="1" applyBorder="1" applyAlignment="1">
      <alignment vertical="top" wrapText="1"/>
    </xf>
    <xf numFmtId="0" fontId="150" fillId="0" borderId="0" xfId="40" applyFont="1" applyFill="1" applyAlignment="1">
      <alignment horizontal="right" vertical="top" wrapText="1"/>
      <protection/>
    </xf>
    <xf numFmtId="174" fontId="150" fillId="0" borderId="0" xfId="40" applyNumberFormat="1" applyFont="1" applyFill="1" applyAlignment="1">
      <alignment vertical="top" wrapText="1"/>
      <protection/>
    </xf>
    <xf numFmtId="174" fontId="150" fillId="41" borderId="0" xfId="40" applyNumberFormat="1" applyFont="1" applyFill="1" applyAlignment="1">
      <alignment vertical="top" wrapText="1"/>
      <protection/>
    </xf>
    <xf numFmtId="3" fontId="150" fillId="0" borderId="0" xfId="40" applyNumberFormat="1" applyFont="1" applyFill="1" applyAlignment="1">
      <alignment vertical="top" wrapText="1"/>
      <protection/>
    </xf>
    <xf numFmtId="0" fontId="150" fillId="0" borderId="0" xfId="40" applyFont="1" applyFill="1" applyAlignment="1">
      <alignment vertical="top" wrapText="1"/>
      <protection/>
    </xf>
    <xf numFmtId="3" fontId="150" fillId="41" borderId="0" xfId="40" applyNumberFormat="1" applyFont="1" applyFill="1" applyAlignment="1">
      <alignment vertical="top" wrapText="1"/>
      <protection/>
    </xf>
    <xf numFmtId="0" fontId="150" fillId="0" borderId="0" xfId="40" applyFont="1" applyFill="1" applyAlignment="1">
      <alignment horizontal="center" vertical="top" wrapText="1"/>
      <protection/>
    </xf>
    <xf numFmtId="0" fontId="31" fillId="0" borderId="0" xfId="40" applyFont="1" applyFill="1" applyBorder="1" applyAlignment="1">
      <alignment vertical="top" wrapText="1"/>
      <protection/>
    </xf>
    <xf numFmtId="0" fontId="31" fillId="0" borderId="11" xfId="40" applyFont="1" applyFill="1" applyBorder="1" applyAlignment="1">
      <alignment vertical="top" wrapText="1"/>
      <protection/>
    </xf>
    <xf numFmtId="0" fontId="31" fillId="0" borderId="11" xfId="40" applyFont="1" applyFill="1" applyBorder="1" applyAlignment="1">
      <alignment horizontal="right" vertical="top" wrapText="1"/>
      <protection/>
    </xf>
    <xf numFmtId="174" fontId="31" fillId="0" borderId="11" xfId="40" applyNumberFormat="1" applyFont="1" applyFill="1" applyBorder="1" applyAlignment="1">
      <alignment vertical="top" wrapText="1"/>
      <protection/>
    </xf>
    <xf numFmtId="174" fontId="31" fillId="41" borderId="11" xfId="40" applyNumberFormat="1" applyFont="1" applyFill="1" applyBorder="1" applyAlignment="1">
      <alignment vertical="top" wrapText="1"/>
      <protection/>
    </xf>
    <xf numFmtId="3" fontId="31" fillId="0" borderId="11" xfId="40" applyNumberFormat="1" applyFont="1" applyFill="1" applyBorder="1" applyAlignment="1">
      <alignment vertical="top" wrapText="1"/>
      <protection/>
    </xf>
    <xf numFmtId="3" fontId="31" fillId="41" borderId="11" xfId="40" applyNumberFormat="1" applyFont="1" applyFill="1" applyBorder="1" applyAlignment="1">
      <alignment vertical="top" wrapText="1"/>
      <protection/>
    </xf>
    <xf numFmtId="0" fontId="31" fillId="0" borderId="11" xfId="40" applyFont="1" applyFill="1" applyBorder="1" applyAlignment="1">
      <alignment horizontal="center" vertical="top" wrapText="1"/>
      <protection/>
    </xf>
    <xf numFmtId="0" fontId="31" fillId="0" borderId="12" xfId="40" applyFont="1" applyFill="1" applyBorder="1" applyAlignment="1">
      <alignment vertical="top" wrapText="1"/>
      <protection/>
    </xf>
    <xf numFmtId="0" fontId="31" fillId="0" borderId="12" xfId="40" applyFont="1" applyFill="1" applyBorder="1" applyAlignment="1">
      <alignment horizontal="right" vertical="top" wrapText="1"/>
      <protection/>
    </xf>
    <xf numFmtId="174" fontId="31" fillId="0" borderId="12" xfId="40" applyNumberFormat="1" applyFont="1" applyFill="1" applyBorder="1" applyAlignment="1">
      <alignment vertical="top" wrapText="1"/>
      <protection/>
    </xf>
    <xf numFmtId="174" fontId="31" fillId="41" borderId="12" xfId="40" applyNumberFormat="1" applyFont="1" applyFill="1" applyBorder="1" applyAlignment="1">
      <alignment vertical="top" wrapText="1"/>
      <protection/>
    </xf>
    <xf numFmtId="3" fontId="31" fillId="0" borderId="12" xfId="40" applyNumberFormat="1" applyFont="1" applyFill="1" applyBorder="1" applyAlignment="1">
      <alignment vertical="top" wrapText="1"/>
      <protection/>
    </xf>
    <xf numFmtId="3" fontId="31" fillId="41" borderId="12" xfId="40" applyNumberFormat="1" applyFont="1" applyFill="1" applyBorder="1" applyAlignment="1">
      <alignment vertical="top" wrapText="1"/>
      <protection/>
    </xf>
    <xf numFmtId="0" fontId="31" fillId="0" borderId="12" xfId="40" applyFont="1" applyFill="1" applyBorder="1" applyAlignment="1">
      <alignment horizontal="center" vertical="top" wrapText="1"/>
      <protection/>
    </xf>
    <xf numFmtId="0" fontId="31" fillId="0" borderId="0" xfId="40" applyFont="1" applyFill="1" applyBorder="1" applyAlignment="1">
      <alignment horizontal="right" vertical="top" wrapText="1"/>
      <protection/>
    </xf>
    <xf numFmtId="174" fontId="31" fillId="0" borderId="0" xfId="40" applyNumberFormat="1" applyFont="1" applyFill="1" applyBorder="1" applyAlignment="1">
      <alignment vertical="top" wrapText="1"/>
      <protection/>
    </xf>
    <xf numFmtId="174" fontId="31" fillId="41" borderId="0" xfId="40" applyNumberFormat="1" applyFont="1" applyFill="1" applyBorder="1" applyAlignment="1">
      <alignment vertical="top" wrapText="1"/>
      <protection/>
    </xf>
    <xf numFmtId="3" fontId="31" fillId="0" borderId="0" xfId="40" applyNumberFormat="1" applyFont="1" applyFill="1" applyBorder="1" applyAlignment="1">
      <alignment vertical="top" wrapText="1"/>
      <protection/>
    </xf>
    <xf numFmtId="3" fontId="31" fillId="41" borderId="0" xfId="40" applyNumberFormat="1" applyFont="1" applyFill="1" applyBorder="1" applyAlignment="1">
      <alignment vertical="top" wrapText="1"/>
      <protection/>
    </xf>
    <xf numFmtId="0" fontId="31" fillId="0" borderId="0" xfId="40" applyFont="1" applyFill="1" applyBorder="1" applyAlignment="1">
      <alignment horizontal="center" vertical="top" wrapText="1"/>
      <protection/>
    </xf>
    <xf numFmtId="174" fontId="31" fillId="0" borderId="0" xfId="40" applyNumberFormat="1" applyFont="1" applyFill="1" applyAlignment="1">
      <alignment vertical="top" wrapText="1"/>
      <protection/>
    </xf>
    <xf numFmtId="174" fontId="31" fillId="41" borderId="0" xfId="40" applyNumberFormat="1" applyFont="1" applyFill="1" applyAlignment="1">
      <alignment vertical="top" wrapText="1"/>
      <protection/>
    </xf>
    <xf numFmtId="3" fontId="31" fillId="0" borderId="0" xfId="40" applyNumberFormat="1" applyFont="1" applyFill="1" applyAlignment="1">
      <alignment vertical="top" wrapText="1"/>
      <protection/>
    </xf>
    <xf numFmtId="3" fontId="31" fillId="41" borderId="0" xfId="40" applyNumberFormat="1" applyFont="1" applyFill="1" applyAlignment="1">
      <alignment vertical="top" wrapText="1"/>
      <protection/>
    </xf>
    <xf numFmtId="0" fontId="31" fillId="0" borderId="0" xfId="40" applyFont="1" applyFill="1" applyAlignment="1">
      <alignment horizontal="center" vertical="top" wrapText="1"/>
      <protection/>
    </xf>
    <xf numFmtId="174" fontId="31" fillId="49" borderId="0" xfId="40" applyNumberFormat="1" applyFont="1" applyFill="1" applyAlignment="1">
      <alignment vertical="top" wrapText="1"/>
      <protection/>
    </xf>
    <xf numFmtId="3" fontId="31" fillId="49" borderId="0" xfId="40" applyNumberFormat="1" applyFont="1" applyFill="1" applyAlignment="1">
      <alignment vertical="top" wrapText="1"/>
      <protection/>
    </xf>
    <xf numFmtId="0" fontId="31" fillId="0" borderId="0" xfId="0" applyFont="1" applyFill="1" applyAlignment="1">
      <alignment vertical="top" wrapText="1"/>
    </xf>
    <xf numFmtId="0" fontId="31" fillId="0" borderId="0" xfId="0" applyFont="1" applyFill="1" applyAlignment="1">
      <alignment horizontal="right" vertical="top" wrapText="1"/>
    </xf>
    <xf numFmtId="174" fontId="31" fillId="41" borderId="0" xfId="0" applyNumberFormat="1" applyFont="1" applyFill="1" applyAlignment="1">
      <alignment vertical="top" wrapText="1"/>
    </xf>
    <xf numFmtId="3" fontId="31" fillId="0" borderId="0" xfId="0" applyNumberFormat="1" applyFont="1" applyFill="1" applyAlignment="1">
      <alignment vertical="top" wrapText="1"/>
    </xf>
    <xf numFmtId="3" fontId="31" fillId="41" borderId="0" xfId="0" applyNumberFormat="1" applyFont="1" applyFill="1" applyAlignment="1">
      <alignment vertical="top" wrapText="1"/>
    </xf>
    <xf numFmtId="0" fontId="31" fillId="0" borderId="0" xfId="0" applyFont="1" applyFill="1" applyAlignment="1">
      <alignment horizontal="center" vertical="top" wrapText="1"/>
    </xf>
    <xf numFmtId="0" fontId="31" fillId="0" borderId="0" xfId="0" applyFont="1" applyFill="1" applyBorder="1" applyAlignment="1">
      <alignment vertical="top" wrapText="1"/>
    </xf>
    <xf numFmtId="0" fontId="73" fillId="50" borderId="0" xfId="40" applyFont="1" applyFill="1" applyAlignment="1">
      <alignment horizontal="right" vertical="top" wrapText="1"/>
      <protection/>
    </xf>
    <xf numFmtId="174" fontId="31" fillId="0" borderId="0" xfId="43" applyNumberFormat="1" applyFont="1" applyFill="1" applyAlignment="1">
      <alignment vertical="top" wrapText="1"/>
    </xf>
    <xf numFmtId="6" fontId="31" fillId="0" borderId="0" xfId="40" applyNumberFormat="1" applyFont="1" applyFill="1" applyAlignment="1">
      <alignment vertical="top" wrapText="1"/>
      <protection/>
    </xf>
    <xf numFmtId="3" fontId="31" fillId="0" borderId="0" xfId="40" applyNumberFormat="1" applyFont="1" applyFill="1" applyAlignment="1" applyProtection="1">
      <alignment horizontal="right" vertical="top" wrapText="1"/>
      <protection/>
    </xf>
    <xf numFmtId="3" fontId="31" fillId="41" borderId="0" xfId="40" applyNumberFormat="1" applyFont="1" applyFill="1" applyAlignment="1" applyProtection="1">
      <alignment horizontal="right" vertical="top" wrapText="1"/>
      <protection/>
    </xf>
    <xf numFmtId="174" fontId="31" fillId="41" borderId="0" xfId="43" applyNumberFormat="1" applyFont="1" applyFill="1" applyAlignment="1">
      <alignment vertical="top" wrapText="1"/>
    </xf>
    <xf numFmtId="3" fontId="31" fillId="0" borderId="0" xfId="43" applyNumberFormat="1" applyFont="1" applyFill="1" applyAlignment="1">
      <alignment horizontal="center" vertical="top" wrapText="1"/>
    </xf>
    <xf numFmtId="174" fontId="31" fillId="0" borderId="0" xfId="43" applyNumberFormat="1" applyFont="1" applyFill="1" applyAlignment="1">
      <alignment horizontal="right" vertical="top" wrapText="1"/>
    </xf>
    <xf numFmtId="6" fontId="31" fillId="0" borderId="0" xfId="45" applyNumberFormat="1" applyFont="1" applyFill="1" applyAlignment="1">
      <alignment vertical="top" wrapText="1"/>
    </xf>
    <xf numFmtId="5" fontId="31" fillId="0" borderId="0" xfId="0" applyNumberFormat="1" applyFont="1" applyFill="1" applyAlignment="1">
      <alignment vertical="top" wrapText="1"/>
    </xf>
    <xf numFmtId="0" fontId="74" fillId="0" borderId="0" xfId="40" applyFont="1" applyFill="1" applyAlignment="1">
      <alignment horizontal="right" vertical="top" wrapText="1"/>
      <protection/>
    </xf>
    <xf numFmtId="0" fontId="77" fillId="0" borderId="0" xfId="40" applyFont="1" applyFill="1" applyAlignment="1">
      <alignment horizontal="right" vertical="top" wrapText="1"/>
      <protection/>
    </xf>
    <xf numFmtId="174" fontId="40" fillId="0" borderId="0" xfId="43" applyNumberFormat="1" applyFont="1" applyFill="1" applyAlignment="1">
      <alignment vertical="top" wrapText="1"/>
    </xf>
    <xf numFmtId="174" fontId="40" fillId="41" borderId="0" xfId="43" applyNumberFormat="1" applyFont="1" applyFill="1" applyAlignment="1">
      <alignment vertical="top" wrapText="1"/>
    </xf>
    <xf numFmtId="0" fontId="73" fillId="52" borderId="0" xfId="40" applyFont="1" applyFill="1" applyAlignment="1">
      <alignment horizontal="right" vertical="top" wrapText="1"/>
      <protection/>
    </xf>
    <xf numFmtId="0" fontId="83" fillId="0" borderId="0" xfId="0" applyFont="1" applyFill="1" applyAlignment="1">
      <alignment horizontal="right" vertical="top" wrapText="1"/>
    </xf>
    <xf numFmtId="0" fontId="40" fillId="0" borderId="0" xfId="40" applyFont="1" applyFill="1" applyAlignment="1">
      <alignment horizontal="left" vertical="top" wrapText="1"/>
      <protection/>
    </xf>
    <xf numFmtId="0" fontId="83" fillId="0" borderId="0" xfId="40" applyFont="1" applyFill="1" applyAlignment="1">
      <alignment horizontal="right" vertical="top" wrapText="1"/>
      <protection/>
    </xf>
    <xf numFmtId="174" fontId="40" fillId="0" borderId="0" xfId="63" applyNumberFormat="1" applyFont="1" applyFill="1" applyAlignment="1">
      <alignment vertical="top" wrapText="1"/>
    </xf>
    <xf numFmtId="174" fontId="40" fillId="41" borderId="0" xfId="63" applyNumberFormat="1" applyFont="1" applyFill="1" applyAlignment="1">
      <alignment vertical="top" wrapText="1"/>
    </xf>
    <xf numFmtId="3" fontId="40" fillId="0" borderId="0" xfId="63" applyNumberFormat="1" applyFont="1" applyFill="1" applyAlignment="1">
      <alignment vertical="top" wrapText="1"/>
    </xf>
    <xf numFmtId="174" fontId="31" fillId="0" borderId="0" xfId="40" applyNumberFormat="1" applyFont="1" applyFill="1" applyBorder="1" applyAlignment="1">
      <alignment horizontal="left" vertical="top" wrapText="1"/>
      <protection/>
    </xf>
    <xf numFmtId="174" fontId="31" fillId="41" borderId="0" xfId="40" applyNumberFormat="1" applyFont="1" applyFill="1" applyBorder="1" applyAlignment="1">
      <alignment horizontal="left" vertical="top" wrapText="1"/>
      <protection/>
    </xf>
    <xf numFmtId="3" fontId="31" fillId="0" borderId="0" xfId="40" applyNumberFormat="1" applyFont="1" applyFill="1" applyBorder="1" applyAlignment="1">
      <alignment horizontal="left" vertical="top" wrapText="1"/>
      <protection/>
    </xf>
    <xf numFmtId="3" fontId="31" fillId="41" borderId="0" xfId="40" applyNumberFormat="1" applyFont="1" applyFill="1" applyBorder="1" applyAlignment="1">
      <alignment horizontal="left" vertical="top" wrapText="1"/>
      <protection/>
    </xf>
    <xf numFmtId="0" fontId="31" fillId="0" borderId="28" xfId="40" applyFont="1" applyFill="1" applyBorder="1" applyAlignment="1">
      <alignment vertical="top" wrapText="1"/>
      <protection/>
    </xf>
    <xf numFmtId="0" fontId="41" fillId="0" borderId="0" xfId="40" applyFont="1" applyFill="1" applyBorder="1" applyAlignment="1">
      <alignment horizontal="left" vertical="top" wrapText="1"/>
      <protection/>
    </xf>
    <xf numFmtId="174" fontId="40" fillId="0" borderId="29" xfId="40" applyNumberFormat="1" applyFont="1" applyFill="1" applyBorder="1" applyAlignment="1">
      <alignment horizontal="right" vertical="top" wrapText="1"/>
      <protection/>
    </xf>
    <xf numFmtId="174" fontId="87" fillId="41" borderId="0" xfId="45" applyNumberFormat="1" applyFont="1" applyFill="1" applyAlignment="1">
      <alignment vertical="top" wrapText="1"/>
    </xf>
    <xf numFmtId="174" fontId="87" fillId="0" borderId="0" xfId="45" applyNumberFormat="1" applyFont="1" applyFill="1" applyAlignment="1">
      <alignment vertical="top" wrapText="1"/>
    </xf>
    <xf numFmtId="3" fontId="81" fillId="0" borderId="29" xfId="0" applyNumberFormat="1" applyFont="1" applyFill="1" applyBorder="1" applyAlignment="1">
      <alignment vertical="top" wrapText="1"/>
    </xf>
    <xf numFmtId="174" fontId="86" fillId="0" borderId="29" xfId="45" applyNumberFormat="1" applyFont="1" applyFill="1" applyBorder="1" applyAlignment="1">
      <alignment vertical="top" wrapText="1"/>
    </xf>
    <xf numFmtId="174" fontId="87" fillId="0" borderId="29" xfId="45" applyNumberFormat="1" applyFont="1" applyFill="1" applyBorder="1" applyAlignment="1">
      <alignment vertical="top" wrapText="1"/>
    </xf>
    <xf numFmtId="0" fontId="31" fillId="0" borderId="29" xfId="40" applyFont="1" applyFill="1" applyBorder="1" applyAlignment="1">
      <alignment vertical="top" wrapText="1"/>
      <protection/>
    </xf>
    <xf numFmtId="174" fontId="31" fillId="0" borderId="29" xfId="40" applyNumberFormat="1" applyFont="1" applyFill="1" applyBorder="1" applyAlignment="1">
      <alignment horizontal="right" vertical="top" wrapText="1"/>
      <protection/>
    </xf>
    <xf numFmtId="0" fontId="31" fillId="0" borderId="29" xfId="40" applyFont="1" applyFill="1" applyBorder="1" applyAlignment="1">
      <alignment horizontal="right" vertical="top" wrapText="1"/>
      <protection/>
    </xf>
    <xf numFmtId="174" fontId="31" fillId="0" borderId="29" xfId="40" applyNumberFormat="1" applyFont="1" applyFill="1" applyBorder="1" applyAlignment="1">
      <alignment vertical="top" wrapText="1"/>
      <protection/>
    </xf>
    <xf numFmtId="174" fontId="31" fillId="41" borderId="29" xfId="40" applyNumberFormat="1" applyFont="1" applyFill="1" applyBorder="1" applyAlignment="1">
      <alignment vertical="top" wrapText="1"/>
      <protection/>
    </xf>
    <xf numFmtId="3" fontId="31" fillId="0" borderId="29" xfId="40" applyNumberFormat="1" applyFont="1" applyFill="1" applyBorder="1" applyAlignment="1">
      <alignment vertical="top" wrapText="1"/>
      <protection/>
    </xf>
    <xf numFmtId="3" fontId="31" fillId="41" borderId="29" xfId="40" applyNumberFormat="1" applyFont="1" applyFill="1" applyBorder="1" applyAlignment="1">
      <alignment vertical="top" wrapText="1"/>
      <protection/>
    </xf>
    <xf numFmtId="174" fontId="40" fillId="0" borderId="29" xfId="40" applyNumberFormat="1" applyFont="1" applyFill="1" applyBorder="1" applyAlignment="1">
      <alignment vertical="top" wrapText="1"/>
      <protection/>
    </xf>
    <xf numFmtId="174" fontId="40" fillId="41" borderId="29" xfId="40" applyNumberFormat="1" applyFont="1" applyFill="1" applyBorder="1" applyAlignment="1">
      <alignment vertical="top" wrapText="1"/>
      <protection/>
    </xf>
    <xf numFmtId="0" fontId="31" fillId="0" borderId="29" xfId="40" applyFont="1" applyFill="1" applyBorder="1" applyAlignment="1">
      <alignment horizontal="center" vertical="top" wrapText="1"/>
      <protection/>
    </xf>
    <xf numFmtId="174" fontId="40" fillId="0" borderId="0" xfId="40" applyNumberFormat="1" applyFont="1" applyFill="1" applyAlignment="1">
      <alignment vertical="top" wrapText="1"/>
      <protection/>
    </xf>
    <xf numFmtId="6" fontId="31" fillId="0" borderId="0" xfId="45" applyNumberFormat="1" applyFont="1" applyFill="1" applyAlignment="1">
      <alignment horizontal="right" vertical="top" wrapText="1"/>
    </xf>
    <xf numFmtId="5" fontId="31" fillId="0" borderId="0" xfId="45" applyNumberFormat="1" applyFont="1" applyFill="1" applyAlignment="1">
      <alignment vertical="top" wrapText="1"/>
    </xf>
    <xf numFmtId="3" fontId="31" fillId="0" borderId="0" xfId="43" applyNumberFormat="1" applyFont="1" applyFill="1" applyAlignment="1">
      <alignment vertical="top" wrapText="1"/>
    </xf>
    <xf numFmtId="9" fontId="31" fillId="0" borderId="0" xfId="63" applyFont="1" applyFill="1" applyAlignment="1">
      <alignment vertical="top" wrapText="1"/>
    </xf>
    <xf numFmtId="13" fontId="31" fillId="0" borderId="0" xfId="45" applyNumberFormat="1" applyFont="1" applyFill="1" applyAlignment="1">
      <alignment horizontal="right" vertical="top" wrapText="1"/>
    </xf>
    <xf numFmtId="10" fontId="31" fillId="0" borderId="0" xfId="63" applyNumberFormat="1" applyFont="1" applyFill="1" applyAlignment="1">
      <alignment vertical="top" wrapText="1"/>
    </xf>
    <xf numFmtId="174" fontId="31" fillId="0" borderId="0" xfId="63" applyNumberFormat="1" applyFont="1" applyFill="1" applyAlignment="1">
      <alignment vertical="top" wrapText="1"/>
    </xf>
    <xf numFmtId="174" fontId="31" fillId="0" borderId="0" xfId="45" applyNumberFormat="1" applyFont="1" applyFill="1" applyAlignment="1">
      <alignment vertical="top" wrapText="1"/>
    </xf>
    <xf numFmtId="3" fontId="31" fillId="0" borderId="0" xfId="45" applyNumberFormat="1" applyFont="1" applyFill="1" applyAlignment="1">
      <alignment vertical="top" wrapText="1"/>
    </xf>
    <xf numFmtId="6" fontId="31" fillId="0" borderId="0" xfId="45" applyNumberFormat="1" applyFont="1" applyFill="1" applyAlignment="1">
      <alignment horizontal="center" vertical="top" wrapText="1"/>
    </xf>
    <xf numFmtId="6" fontId="31" fillId="0" borderId="0" xfId="45" applyNumberFormat="1" applyFont="1" applyFill="1" applyBorder="1" applyAlignment="1">
      <alignment vertical="top" wrapText="1"/>
    </xf>
    <xf numFmtId="0" fontId="150" fillId="0" borderId="0" xfId="40" applyFont="1" applyFill="1" applyBorder="1" applyAlignment="1">
      <alignment vertical="top" wrapText="1"/>
      <protection/>
    </xf>
    <xf numFmtId="6" fontId="73" fillId="50" borderId="0" xfId="45" applyNumberFormat="1" applyFont="1" applyFill="1" applyAlignment="1">
      <alignment vertical="top" wrapText="1"/>
    </xf>
    <xf numFmtId="0" fontId="32" fillId="53" borderId="0" xfId="0" applyFont="1" applyFill="1" applyAlignment="1">
      <alignment horizontal="center"/>
    </xf>
    <xf numFmtId="0" fontId="0" fillId="0" borderId="0" xfId="0" applyAlignment="1">
      <alignment horizontal="center"/>
    </xf>
    <xf numFmtId="0" fontId="95" fillId="53" borderId="0" xfId="0" applyFont="1" applyFill="1" applyAlignment="1">
      <alignment horizontal="center"/>
    </xf>
    <xf numFmtId="0" fontId="96" fillId="0" borderId="0" xfId="0" applyFont="1" applyAlignment="1">
      <alignment/>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dget"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Line Item Descriptions" xfId="59"/>
    <cellStyle name="Normal_MS SLA vs Select Costs"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195</xdr:row>
      <xdr:rowOff>0</xdr:rowOff>
    </xdr:from>
    <xdr:to>
      <xdr:col>0</xdr:col>
      <xdr:colOff>295275</xdr:colOff>
      <xdr:row>195</xdr:row>
      <xdr:rowOff>0</xdr:rowOff>
    </xdr:to>
    <xdr:pic>
      <xdr:nvPicPr>
        <xdr:cNvPr id="1" name="Picture 46" descr="https://copilot.education.ky.gov/_layouts/images/GreenCircle32x32.gif"/>
        <xdr:cNvPicPr preferRelativeResize="1">
          <a:picLocks noChangeAspect="1"/>
        </xdr:cNvPicPr>
      </xdr:nvPicPr>
      <xdr:blipFill>
        <a:blip r:embed="rId1"/>
        <a:stretch>
          <a:fillRect/>
        </a:stretch>
      </xdr:blipFill>
      <xdr:spPr>
        <a:xfrm>
          <a:off x="0" y="36109275"/>
          <a:ext cx="2952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2"/>
  <sheetViews>
    <sheetView zoomScale="60" zoomScaleNormal="60"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2.75"/>
  <cols>
    <col min="1" max="1" width="90.140625" style="0" bestFit="1" customWidth="1"/>
    <col min="2" max="2" width="19.7109375" style="0" customWidth="1"/>
    <col min="3" max="3" width="15.28125" style="103" customWidth="1"/>
    <col min="4" max="4" width="14.8515625" style="905" customWidth="1"/>
    <col min="5" max="5" width="17.140625" style="103" customWidth="1"/>
    <col min="6" max="6" width="13.7109375" style="103" customWidth="1"/>
    <col min="7" max="7" width="15.8515625" style="103" customWidth="1"/>
    <col min="8" max="8" width="15.57421875" style="903" customWidth="1"/>
  </cols>
  <sheetData>
    <row r="1" spans="1:8" ht="45.75" thickBot="1">
      <c r="A1" s="864"/>
      <c r="B1" s="865" t="s">
        <v>968</v>
      </c>
      <c r="C1" s="906" t="s">
        <v>4</v>
      </c>
      <c r="D1" s="904" t="s">
        <v>5</v>
      </c>
      <c r="E1" s="866" t="s">
        <v>6</v>
      </c>
      <c r="F1" s="866" t="s">
        <v>7</v>
      </c>
      <c r="G1" s="866" t="s">
        <v>8</v>
      </c>
      <c r="H1" s="902" t="s">
        <v>9</v>
      </c>
    </row>
    <row r="2" spans="1:8" ht="15" thickTop="1">
      <c r="A2" s="867"/>
      <c r="B2" s="907"/>
      <c r="C2" s="919"/>
      <c r="D2" s="920"/>
      <c r="E2" s="921"/>
      <c r="F2" s="921"/>
      <c r="G2" s="921"/>
      <c r="H2" s="922"/>
    </row>
    <row r="3" spans="1:8" ht="15.75">
      <c r="A3" s="868" t="s">
        <v>969</v>
      </c>
      <c r="B3" s="915"/>
      <c r="C3" s="923"/>
      <c r="D3" s="908"/>
      <c r="E3" s="923"/>
      <c r="F3" s="923"/>
      <c r="G3" s="923"/>
      <c r="H3" s="909"/>
    </row>
    <row r="4" spans="1:8" ht="47.25">
      <c r="A4" s="869" t="s">
        <v>970</v>
      </c>
      <c r="B4" s="924"/>
      <c r="C4" s="924"/>
      <c r="D4" s="910"/>
      <c r="E4" s="924"/>
      <c r="F4" s="924"/>
      <c r="G4" s="924"/>
      <c r="H4" s="911"/>
    </row>
    <row r="5" spans="1:8" ht="15" thickBot="1">
      <c r="A5" s="870" t="s">
        <v>853</v>
      </c>
      <c r="B5" s="925"/>
      <c r="C5" s="926"/>
      <c r="D5" s="912"/>
      <c r="E5" s="926"/>
      <c r="F5" s="926"/>
      <c r="G5" s="926"/>
      <c r="H5" s="913"/>
    </row>
    <row r="6" spans="1:8" ht="13.5" thickTop="1">
      <c r="A6" s="871" t="s">
        <v>971</v>
      </c>
      <c r="B6" s="927"/>
      <c r="C6" s="924"/>
      <c r="D6" s="910"/>
      <c r="E6" s="928"/>
      <c r="F6" s="928"/>
      <c r="G6" s="928"/>
      <c r="H6" s="911"/>
    </row>
    <row r="7" spans="1:8" ht="12.75">
      <c r="A7" s="872" t="s">
        <v>972</v>
      </c>
      <c r="B7" s="914"/>
      <c r="C7" s="924"/>
      <c r="D7" s="910"/>
      <c r="E7" s="924"/>
      <c r="F7" s="924"/>
      <c r="G7" s="924"/>
      <c r="H7" s="911"/>
    </row>
    <row r="8" spans="1:8" ht="12.75">
      <c r="A8" s="872" t="s">
        <v>973</v>
      </c>
      <c r="B8" s="914"/>
      <c r="C8" s="924">
        <f>'Complete Budget Sheet'!C130</f>
        <v>53</v>
      </c>
      <c r="D8" s="910">
        <f>'Complete Budget Sheet'!E123+'Complete Budget Sheet'!E130</f>
        <v>198497.08766666666</v>
      </c>
      <c r="E8" s="924">
        <f>'Complete Budget Sheet'!G130</f>
        <v>0</v>
      </c>
      <c r="F8" s="924">
        <f>'Complete Budget Sheet'!I130</f>
        <v>53</v>
      </c>
      <c r="G8" s="924">
        <f>'Complete Budget Sheet'!K123+'Complete Budget Sheet'!K130</f>
        <v>10520345.646333333</v>
      </c>
      <c r="H8" s="911">
        <f>'Complete Budget Sheet'!N130</f>
        <v>1</v>
      </c>
    </row>
    <row r="9" spans="1:8" ht="12.75">
      <c r="A9" s="872" t="s">
        <v>974</v>
      </c>
      <c r="B9" s="914"/>
      <c r="C9" s="924"/>
      <c r="D9" s="910"/>
      <c r="E9" s="924"/>
      <c r="F9" s="924"/>
      <c r="G9" s="924"/>
      <c r="H9" s="911"/>
    </row>
    <row r="10" spans="1:8" ht="12.75">
      <c r="A10" s="873" t="s">
        <v>901</v>
      </c>
      <c r="B10" s="929"/>
      <c r="C10" s="929"/>
      <c r="D10" s="930"/>
      <c r="E10" s="931"/>
      <c r="F10" s="931"/>
      <c r="G10" s="932"/>
      <c r="H10" s="933"/>
    </row>
    <row r="11" spans="1:8" ht="25.5">
      <c r="A11" s="873" t="s">
        <v>975</v>
      </c>
      <c r="B11" s="929"/>
      <c r="C11" s="929"/>
      <c r="D11" s="930"/>
      <c r="E11" s="931"/>
      <c r="F11" s="931"/>
      <c r="G11" s="932"/>
      <c r="H11" s="933"/>
    </row>
    <row r="12" spans="1:8" ht="12.75">
      <c r="A12" s="873" t="s">
        <v>976</v>
      </c>
      <c r="B12" s="929"/>
      <c r="C12" s="929"/>
      <c r="D12" s="930"/>
      <c r="E12" s="931"/>
      <c r="F12" s="931"/>
      <c r="G12" s="932"/>
      <c r="H12" s="933"/>
    </row>
    <row r="13" spans="1:8" ht="14.25">
      <c r="A13" s="874"/>
      <c r="B13" s="915"/>
      <c r="C13" s="923"/>
      <c r="D13" s="908"/>
      <c r="E13" s="923"/>
      <c r="F13" s="923"/>
      <c r="G13" s="923"/>
      <c r="H13" s="909"/>
    </row>
    <row r="14" spans="1:8" ht="15" thickBot="1">
      <c r="A14" s="870" t="s">
        <v>852</v>
      </c>
      <c r="B14" s="925"/>
      <c r="C14" s="919"/>
      <c r="D14" s="920"/>
      <c r="E14" s="921"/>
      <c r="F14" s="921"/>
      <c r="G14" s="921"/>
      <c r="H14" s="934"/>
    </row>
    <row r="15" spans="1:8" ht="13.5" thickTop="1">
      <c r="A15" s="872" t="s">
        <v>973</v>
      </c>
      <c r="B15" s="914"/>
      <c r="C15" s="924">
        <f>'Complete Budget Sheet'!AL124</f>
        <v>53</v>
      </c>
      <c r="D15" s="920">
        <f>'Complete Budget Sheet'!AN124</f>
        <v>396550.3753333333</v>
      </c>
      <c r="E15" s="921">
        <f>'Complete Budget Sheet'!AO124</f>
        <v>0</v>
      </c>
      <c r="F15" s="921">
        <f>'Complete Budget Sheet'!AP124</f>
        <v>0</v>
      </c>
      <c r="G15" s="921">
        <f>'Complete Budget Sheet'!AR124</f>
        <v>21017169.892666664</v>
      </c>
      <c r="H15" s="934">
        <f>'Complete Budget Sheet'!AU124</f>
        <v>1</v>
      </c>
    </row>
    <row r="16" spans="1:8" ht="25.5">
      <c r="A16" s="872" t="s">
        <v>977</v>
      </c>
      <c r="B16" s="914"/>
      <c r="C16" s="924"/>
      <c r="D16" s="920"/>
      <c r="E16" s="921"/>
      <c r="F16" s="921"/>
      <c r="G16" s="921"/>
      <c r="H16" s="934"/>
    </row>
    <row r="17" spans="1:8" ht="12.75">
      <c r="A17" s="875" t="s">
        <v>978</v>
      </c>
      <c r="B17" s="929"/>
      <c r="C17" s="935">
        <f>'Complete Budget Sheet'!C127</f>
        <v>0</v>
      </c>
      <c r="D17" s="936">
        <f>'Complete Budget Sheet'!E127</f>
        <v>174</v>
      </c>
      <c r="E17" s="935">
        <f>'Complete Budget Sheet'!G127</f>
        <v>0</v>
      </c>
      <c r="F17" s="935">
        <f>'Complete Budget Sheet'!I127</f>
        <v>23564.840057471276</v>
      </c>
      <c r="G17" s="935">
        <f>'Complete Budget Sheet'!K127</f>
        <v>4100282.170000002</v>
      </c>
      <c r="H17" s="937">
        <f>'Complete Budget Sheet'!N127</f>
        <v>1</v>
      </c>
    </row>
    <row r="18" spans="1:8" ht="12.75">
      <c r="A18" s="872" t="s">
        <v>979</v>
      </c>
      <c r="B18" s="914"/>
      <c r="C18" s="924"/>
      <c r="D18" s="910"/>
      <c r="E18" s="924"/>
      <c r="F18" s="924"/>
      <c r="G18" s="924"/>
      <c r="H18" s="911"/>
    </row>
    <row r="19" spans="1:8" ht="12.75">
      <c r="A19" s="872" t="s">
        <v>980</v>
      </c>
      <c r="B19" s="914"/>
      <c r="C19" s="924"/>
      <c r="D19" s="910"/>
      <c r="E19" s="924"/>
      <c r="F19" s="924"/>
      <c r="G19" s="924"/>
      <c r="H19" s="911"/>
    </row>
    <row r="20" spans="1:8" ht="12.75">
      <c r="A20" s="872" t="s">
        <v>981</v>
      </c>
      <c r="B20" s="914"/>
      <c r="C20" s="924"/>
      <c r="D20" s="910"/>
      <c r="E20" s="924"/>
      <c r="F20" s="924"/>
      <c r="G20" s="924"/>
      <c r="H20" s="911"/>
    </row>
    <row r="21" spans="1:8" ht="12.75">
      <c r="A21" s="872" t="s">
        <v>982</v>
      </c>
      <c r="B21" s="914"/>
      <c r="C21" s="924"/>
      <c r="D21" s="910"/>
      <c r="E21" s="924"/>
      <c r="F21" s="924"/>
      <c r="G21" s="924"/>
      <c r="H21" s="911"/>
    </row>
    <row r="22" spans="1:8" ht="14.25">
      <c r="A22" s="876"/>
      <c r="B22" s="914"/>
      <c r="C22" s="924"/>
      <c r="D22" s="910"/>
      <c r="E22" s="924"/>
      <c r="F22" s="924"/>
      <c r="G22" s="924"/>
      <c r="H22" s="911"/>
    </row>
    <row r="23" spans="1:8" ht="15.75">
      <c r="A23" s="877" t="s">
        <v>983</v>
      </c>
      <c r="B23" s="918"/>
      <c r="C23" s="926"/>
      <c r="D23" s="912"/>
      <c r="E23" s="926"/>
      <c r="F23" s="938"/>
      <c r="G23" s="938"/>
      <c r="H23" s="913"/>
    </row>
    <row r="24" spans="1:8" ht="47.25">
      <c r="A24" s="878" t="s">
        <v>984</v>
      </c>
      <c r="B24" s="932"/>
      <c r="C24" s="932"/>
      <c r="D24" s="916"/>
      <c r="E24" s="932"/>
      <c r="F24" s="932"/>
      <c r="G24" s="932"/>
      <c r="H24" s="917"/>
    </row>
    <row r="25" spans="1:8" ht="15" thickBot="1">
      <c r="A25" s="879" t="s">
        <v>853</v>
      </c>
      <c r="B25" s="939"/>
      <c r="C25" s="940"/>
      <c r="D25" s="941"/>
      <c r="E25" s="942"/>
      <c r="F25" s="942"/>
      <c r="G25" s="942"/>
      <c r="H25" s="943"/>
    </row>
    <row r="26" spans="1:8" ht="15" thickTop="1">
      <c r="A26" s="774" t="s">
        <v>985</v>
      </c>
      <c r="B26" s="929"/>
      <c r="C26" s="935">
        <f>'Complete Budget Sheet'!C109</f>
        <v>0</v>
      </c>
      <c r="D26" s="944">
        <f>'Complete Budget Sheet'!E109</f>
        <v>0</v>
      </c>
      <c r="E26" s="931">
        <f>'Complete Budget Sheet'!G109</f>
        <v>0</v>
      </c>
      <c r="F26" s="931">
        <f>'Complete Budget Sheet'!I109</f>
        <v>0</v>
      </c>
      <c r="G26" s="932">
        <f>'Complete Budget Sheet'!K109</f>
        <v>0</v>
      </c>
      <c r="H26" s="933">
        <f>'Complete Budget Sheet'!N109</f>
        <v>0</v>
      </c>
    </row>
    <row r="27" spans="1:8" ht="14.25">
      <c r="A27" s="880" t="s">
        <v>986</v>
      </c>
      <c r="B27" s="929"/>
      <c r="C27" s="935"/>
      <c r="D27" s="936"/>
      <c r="E27" s="935"/>
      <c r="F27" s="935"/>
      <c r="G27" s="935"/>
      <c r="H27" s="937"/>
    </row>
    <row r="28" spans="1:8" ht="14.25">
      <c r="A28" s="880" t="s">
        <v>987</v>
      </c>
      <c r="B28" s="929"/>
      <c r="C28" s="935"/>
      <c r="D28" s="936"/>
      <c r="E28" s="935"/>
      <c r="F28" s="935"/>
      <c r="G28" s="935"/>
      <c r="H28" s="937"/>
    </row>
    <row r="29" spans="1:8" ht="14.25">
      <c r="A29" s="880"/>
      <c r="B29" s="929"/>
      <c r="C29" s="935"/>
      <c r="D29" s="936"/>
      <c r="E29" s="935"/>
      <c r="F29" s="935"/>
      <c r="G29" s="935"/>
      <c r="H29" s="937"/>
    </row>
    <row r="30" spans="1:8" ht="14.25">
      <c r="A30" s="881"/>
      <c r="B30" s="918"/>
      <c r="C30" s="926"/>
      <c r="D30" s="912"/>
      <c r="E30" s="926"/>
      <c r="F30" s="926"/>
      <c r="G30" s="926"/>
      <c r="H30" s="917"/>
    </row>
    <row r="31" spans="1:8" ht="15" thickBot="1">
      <c r="A31" s="879" t="s">
        <v>852</v>
      </c>
      <c r="B31" s="939"/>
      <c r="C31" s="940"/>
      <c r="D31" s="941"/>
      <c r="E31" s="942"/>
      <c r="F31" s="942"/>
      <c r="G31" s="942"/>
      <c r="H31" s="945"/>
    </row>
    <row r="32" spans="1:8" ht="15" thickTop="1">
      <c r="A32" s="883"/>
      <c r="B32" s="918"/>
      <c r="C32" s="926"/>
      <c r="D32" s="912"/>
      <c r="E32" s="926"/>
      <c r="F32" s="926"/>
      <c r="G32" s="926"/>
      <c r="H32" s="917"/>
    </row>
    <row r="33" spans="1:8" ht="15.75">
      <c r="A33" s="868" t="s">
        <v>988</v>
      </c>
      <c r="B33" s="915"/>
      <c r="C33" s="923"/>
      <c r="D33" s="908"/>
      <c r="E33" s="923"/>
      <c r="F33" s="923"/>
      <c r="G33" s="923"/>
      <c r="H33" s="911"/>
    </row>
    <row r="34" spans="1:8" ht="63">
      <c r="A34" s="869" t="s">
        <v>989</v>
      </c>
      <c r="B34" s="924"/>
      <c r="C34" s="924"/>
      <c r="D34" s="910"/>
      <c r="E34" s="924"/>
      <c r="F34" s="924"/>
      <c r="G34" s="924"/>
      <c r="H34" s="911"/>
    </row>
    <row r="35" spans="1:8" ht="15" thickBot="1">
      <c r="A35" s="870" t="s">
        <v>853</v>
      </c>
      <c r="B35" s="925"/>
      <c r="C35" s="919"/>
      <c r="D35" s="920"/>
      <c r="E35" s="921"/>
      <c r="F35" s="921"/>
      <c r="G35" s="921"/>
      <c r="H35" s="934"/>
    </row>
    <row r="36" spans="1:8" ht="15" thickTop="1">
      <c r="A36" s="874"/>
      <c r="B36" s="915"/>
      <c r="C36" s="923"/>
      <c r="D36" s="908"/>
      <c r="E36" s="923"/>
      <c r="F36" s="923"/>
      <c r="G36" s="923"/>
      <c r="H36" s="911"/>
    </row>
    <row r="37" spans="1:8" ht="15" thickBot="1">
      <c r="A37" s="870" t="s">
        <v>852</v>
      </c>
      <c r="B37" s="925"/>
      <c r="C37" s="919"/>
      <c r="D37" s="920"/>
      <c r="E37" s="921"/>
      <c r="F37" s="921"/>
      <c r="G37" s="921"/>
      <c r="H37" s="934"/>
    </row>
    <row r="38" spans="1:8" ht="21.75" customHeight="1" thickTop="1">
      <c r="A38" s="884" t="s">
        <v>990</v>
      </c>
      <c r="B38" s="925"/>
      <c r="C38" s="919">
        <f>F38*H38</f>
        <v>130.31983130650022</v>
      </c>
      <c r="D38" s="920">
        <f>'Complete Budget Sheet'!AN63+'Complete Budget Sheet'!E62+'Complete Budget Sheet'!E16+'Complete Budget Sheet'!E11+'Complete Budget Sheet'!E10</f>
        <v>46460</v>
      </c>
      <c r="E38" s="921"/>
      <c r="F38" s="921">
        <f>G38/D38</f>
        <v>26.063966261300045</v>
      </c>
      <c r="G38" s="921">
        <f>'Complete Budget Sheet'!K10+'Complete Budget Sheet'!K11+'Complete Budget Sheet'!K62+'Complete Budget Sheet'!AR63</f>
        <v>1210931.8725</v>
      </c>
      <c r="H38" s="934">
        <f>'Complete Budget Sheet'!N10</f>
        <v>5</v>
      </c>
    </row>
    <row r="39" spans="1:8" ht="12.75">
      <c r="A39" s="871" t="s">
        <v>47</v>
      </c>
      <c r="B39" s="927"/>
      <c r="C39" s="928">
        <f>'Complete Budget Sheet'!AL46</f>
        <v>2000</v>
      </c>
      <c r="D39" s="946">
        <f>'Complete Budget Sheet'!AN46</f>
        <v>1372</v>
      </c>
      <c r="E39" s="928">
        <f>'Complete Budget Sheet'!AO46</f>
        <v>0</v>
      </c>
      <c r="F39" s="928">
        <f>'Complete Budget Sheet'!AP46</f>
        <v>0</v>
      </c>
      <c r="G39" s="928">
        <f>'Complete Budget Sheet'!AR46</f>
        <v>457333.3333333333</v>
      </c>
      <c r="H39" s="947">
        <f>'Complete Budget Sheet'!AU46</f>
        <v>6</v>
      </c>
    </row>
    <row r="40" spans="1:8" ht="12.75">
      <c r="A40" s="871" t="s">
        <v>991</v>
      </c>
      <c r="B40" s="927"/>
      <c r="C40" s="928">
        <f>'Complete Budget Sheet'!AL48</f>
        <v>3250</v>
      </c>
      <c r="D40" s="946">
        <f>'Complete Budget Sheet'!AN48</f>
        <v>42939</v>
      </c>
      <c r="E40" s="928">
        <f>'Complete Budget Sheet'!AO48</f>
        <v>0</v>
      </c>
      <c r="F40" s="928">
        <f>'Complete Budget Sheet'!AP48</f>
        <v>0</v>
      </c>
      <c r="G40" s="928">
        <f>'Complete Budget Sheet'!AR48</f>
        <v>23258625</v>
      </c>
      <c r="H40" s="947">
        <f>'Complete Budget Sheet'!AU48</f>
        <v>6</v>
      </c>
    </row>
    <row r="41" spans="1:8" ht="25.5">
      <c r="A41" s="871" t="s">
        <v>992</v>
      </c>
      <c r="B41" s="927"/>
      <c r="C41" s="928"/>
      <c r="D41" s="946"/>
      <c r="E41" s="928"/>
      <c r="F41" s="928"/>
      <c r="G41" s="928"/>
      <c r="H41" s="947"/>
    </row>
    <row r="42" spans="1:8" ht="12.75">
      <c r="A42" s="885" t="s">
        <v>993</v>
      </c>
      <c r="B42" s="927"/>
      <c r="C42" s="928">
        <f>'Complete Budget Sheet'!AL118/5</f>
        <v>8000</v>
      </c>
      <c r="D42" s="946">
        <f>'Complete Budget Sheet'!AN118</f>
        <v>1247</v>
      </c>
      <c r="E42" s="928">
        <f>'Complete Budget Sheet'!AO118</f>
        <v>0</v>
      </c>
      <c r="F42" s="928">
        <f>'Complete Budget Sheet'!AP118</f>
        <v>0</v>
      </c>
      <c r="G42" s="928">
        <f>'Complete Budget Sheet'!AR118/5</f>
        <v>9976000</v>
      </c>
      <c r="H42" s="947">
        <f>'Complete Budget Sheet'!AU118</f>
        <v>1</v>
      </c>
    </row>
    <row r="43" spans="1:8" ht="14.25">
      <c r="A43" s="881"/>
      <c r="B43" s="918"/>
      <c r="C43" s="926"/>
      <c r="D43" s="912"/>
      <c r="E43" s="926"/>
      <c r="F43" s="926"/>
      <c r="G43" s="926"/>
      <c r="H43" s="917"/>
    </row>
    <row r="44" spans="1:8" ht="15.75">
      <c r="A44" s="868" t="s">
        <v>994</v>
      </c>
      <c r="B44" s="915"/>
      <c r="C44" s="923"/>
      <c r="D44" s="908"/>
      <c r="E44" s="923"/>
      <c r="F44" s="923"/>
      <c r="G44" s="923"/>
      <c r="H44" s="911"/>
    </row>
    <row r="45" spans="1:8" ht="63">
      <c r="A45" s="869" t="s">
        <v>995</v>
      </c>
      <c r="B45" s="924"/>
      <c r="C45" s="924"/>
      <c r="D45" s="910"/>
      <c r="E45" s="924"/>
      <c r="F45" s="924"/>
      <c r="G45" s="924"/>
      <c r="H45" s="911"/>
    </row>
    <row r="46" spans="1:8" ht="15" thickBot="1">
      <c r="A46" s="870" t="s">
        <v>853</v>
      </c>
      <c r="B46" s="925"/>
      <c r="C46" s="919"/>
      <c r="D46" s="920"/>
      <c r="E46" s="921"/>
      <c r="F46" s="921"/>
      <c r="G46" s="921"/>
      <c r="H46" s="934"/>
    </row>
    <row r="47" spans="1:8" ht="13.5" thickTop="1">
      <c r="A47" s="886" t="s">
        <v>996</v>
      </c>
      <c r="B47" s="925"/>
      <c r="C47" s="919"/>
      <c r="D47" s="920"/>
      <c r="E47" s="921"/>
      <c r="F47" s="921"/>
      <c r="G47" s="921"/>
      <c r="H47" s="934"/>
    </row>
    <row r="48" spans="1:8" ht="12.75">
      <c r="A48" s="885" t="s">
        <v>997</v>
      </c>
      <c r="B48" s="927"/>
      <c r="C48" s="927"/>
      <c r="D48" s="948"/>
      <c r="E48" s="928"/>
      <c r="F48" s="949"/>
      <c r="G48" s="924"/>
      <c r="H48" s="950"/>
    </row>
    <row r="49" spans="1:8" ht="12.75">
      <c r="A49" s="885" t="s">
        <v>998</v>
      </c>
      <c r="B49" s="927"/>
      <c r="C49" s="927"/>
      <c r="D49" s="946"/>
      <c r="E49" s="928"/>
      <c r="F49" s="949"/>
      <c r="G49" s="924"/>
      <c r="H49" s="950"/>
    </row>
    <row r="50" spans="1:8" ht="12.75">
      <c r="A50" s="871" t="s">
        <v>999</v>
      </c>
      <c r="B50" s="927"/>
      <c r="C50" s="927">
        <f>F50*H50</f>
        <v>1024.7813411078716</v>
      </c>
      <c r="D50" s="946">
        <f>('Complete Budget Sheet'!E36+'Complete Budget Sheet'!E38+'Complete Budget Sheet'!E40)*2</f>
        <v>2744</v>
      </c>
      <c r="E50" s="949"/>
      <c r="F50" s="951">
        <f>G50/D50</f>
        <v>102.47813411078717</v>
      </c>
      <c r="G50" s="924">
        <f>('Complete Budget Sheet'!K36+'Complete Budget Sheet'!K38+'Complete Budget Sheet'!K40)*2</f>
        <v>281200</v>
      </c>
      <c r="H50" s="950">
        <f>'Complete Budget Sheet'!N36</f>
        <v>10</v>
      </c>
    </row>
    <row r="51" spans="1:8" ht="12.75">
      <c r="A51" s="871" t="s">
        <v>885</v>
      </c>
      <c r="B51" s="927"/>
      <c r="C51" s="928"/>
      <c r="D51" s="946"/>
      <c r="E51" s="928"/>
      <c r="F51" s="928"/>
      <c r="G51" s="928"/>
      <c r="H51" s="947"/>
    </row>
    <row r="52" spans="1:8" ht="12.75">
      <c r="A52" s="871" t="s">
        <v>886</v>
      </c>
      <c r="B52" s="927"/>
      <c r="C52" s="928"/>
      <c r="D52" s="946"/>
      <c r="E52" s="928"/>
      <c r="F52" s="928"/>
      <c r="G52" s="928"/>
      <c r="H52" s="947"/>
    </row>
    <row r="53" spans="1:8" ht="12.75">
      <c r="A53" s="887"/>
      <c r="B53" s="925"/>
      <c r="C53" s="919"/>
      <c r="D53" s="920"/>
      <c r="E53" s="921"/>
      <c r="F53" s="921"/>
      <c r="G53" s="921"/>
      <c r="H53" s="934"/>
    </row>
    <row r="54" spans="1:8" ht="12.75">
      <c r="A54" s="886" t="s">
        <v>1000</v>
      </c>
      <c r="B54" s="925"/>
      <c r="C54" s="919"/>
      <c r="D54" s="920"/>
      <c r="E54" s="921"/>
      <c r="F54" s="921"/>
      <c r="G54" s="921"/>
      <c r="H54" s="934"/>
    </row>
    <row r="55" spans="1:8" ht="12.75">
      <c r="A55" s="888" t="s">
        <v>1001</v>
      </c>
      <c r="B55" s="925"/>
      <c r="C55" s="919">
        <f>'Complete Budget Sheet'!C23</f>
        <v>240</v>
      </c>
      <c r="D55" s="920"/>
      <c r="E55" s="921"/>
      <c r="F55" s="921"/>
      <c r="G55" s="921"/>
      <c r="H55" s="934">
        <f>'Complete Budget Sheet'!N23</f>
        <v>20</v>
      </c>
    </row>
    <row r="56" spans="1:8" ht="25.5">
      <c r="A56" s="884" t="s">
        <v>1002</v>
      </c>
      <c r="B56" s="925"/>
      <c r="C56" s="919"/>
      <c r="D56" s="920"/>
      <c r="E56" s="921"/>
      <c r="F56" s="921"/>
      <c r="G56" s="921"/>
      <c r="H56" s="934"/>
    </row>
    <row r="57" spans="1:8" ht="12.75">
      <c r="A57" s="885" t="s">
        <v>1003</v>
      </c>
      <c r="B57" s="927"/>
      <c r="C57" s="927"/>
      <c r="D57" s="946"/>
      <c r="E57" s="928"/>
      <c r="F57" s="949"/>
      <c r="G57" s="924"/>
      <c r="H57" s="947"/>
    </row>
    <row r="58" spans="1:8" ht="12.75">
      <c r="A58" s="885" t="s">
        <v>1004</v>
      </c>
      <c r="B58" s="927"/>
      <c r="C58" s="927"/>
      <c r="D58" s="946"/>
      <c r="E58" s="928"/>
      <c r="F58" s="949"/>
      <c r="G58" s="924"/>
      <c r="H58" s="947"/>
    </row>
    <row r="59" spans="1:8" ht="12.75">
      <c r="A59" s="885" t="s">
        <v>40</v>
      </c>
      <c r="B59" s="927"/>
      <c r="C59" s="927"/>
      <c r="D59" s="946"/>
      <c r="E59" s="928"/>
      <c r="F59" s="949"/>
      <c r="G59" s="924"/>
      <c r="H59" s="947"/>
    </row>
    <row r="60" spans="1:8" ht="12.75">
      <c r="A60" s="885" t="s">
        <v>742</v>
      </c>
      <c r="B60" s="927"/>
      <c r="C60" s="927"/>
      <c r="D60" s="946"/>
      <c r="E60" s="928"/>
      <c r="F60" s="949"/>
      <c r="G60" s="924"/>
      <c r="H60" s="950"/>
    </row>
    <row r="61" spans="1:8" ht="12.75">
      <c r="A61" s="885" t="s">
        <v>861</v>
      </c>
      <c r="B61" s="927"/>
      <c r="C61" s="927"/>
      <c r="D61" s="946"/>
      <c r="E61" s="928"/>
      <c r="F61" s="949"/>
      <c r="G61" s="924"/>
      <c r="H61" s="950"/>
    </row>
    <row r="62" spans="1:8" ht="12.75">
      <c r="A62" s="889" t="s">
        <v>1005</v>
      </c>
      <c r="B62" s="927"/>
      <c r="C62" s="927"/>
      <c r="D62" s="946"/>
      <c r="E62" s="949"/>
      <c r="F62" s="949"/>
      <c r="G62" s="924"/>
      <c r="H62" s="950"/>
    </row>
    <row r="63" spans="1:8" ht="25.5">
      <c r="A63" s="885" t="s">
        <v>1002</v>
      </c>
      <c r="B63" s="927"/>
      <c r="C63" s="927"/>
      <c r="D63" s="946"/>
      <c r="E63" s="949"/>
      <c r="F63" s="949"/>
      <c r="G63" s="924"/>
      <c r="H63" s="950"/>
    </row>
    <row r="64" spans="1:8" ht="12.75">
      <c r="A64" s="885" t="s">
        <v>66</v>
      </c>
      <c r="B64" s="927"/>
      <c r="C64" s="928"/>
      <c r="D64" s="946"/>
      <c r="E64" s="949"/>
      <c r="F64" s="949"/>
      <c r="G64" s="924"/>
      <c r="H64" s="950"/>
    </row>
    <row r="65" spans="1:8" ht="12.75">
      <c r="A65" s="885" t="s">
        <v>877</v>
      </c>
      <c r="B65" s="927"/>
      <c r="C65" s="928"/>
      <c r="D65" s="946"/>
      <c r="E65" s="949"/>
      <c r="F65" s="949"/>
      <c r="G65" s="924"/>
      <c r="H65" s="950"/>
    </row>
    <row r="66" spans="1:8" ht="12.75">
      <c r="A66" s="871" t="s">
        <v>1006</v>
      </c>
      <c r="B66" s="927"/>
      <c r="C66" s="928"/>
      <c r="D66" s="946"/>
      <c r="E66" s="928"/>
      <c r="F66" s="928"/>
      <c r="G66" s="928"/>
      <c r="H66" s="947"/>
    </row>
    <row r="67" spans="1:8" ht="12.75">
      <c r="A67" s="871" t="s">
        <v>1004</v>
      </c>
      <c r="B67" s="927"/>
      <c r="C67" s="928"/>
      <c r="D67" s="946"/>
      <c r="E67" s="928"/>
      <c r="F67" s="928"/>
      <c r="G67" s="928"/>
      <c r="H67" s="947"/>
    </row>
    <row r="68" spans="1:8" ht="12.75">
      <c r="A68" s="871" t="s">
        <v>880</v>
      </c>
      <c r="B68" s="927"/>
      <c r="C68" s="928"/>
      <c r="D68" s="946"/>
      <c r="E68" s="928"/>
      <c r="F68" s="928"/>
      <c r="G68" s="928"/>
      <c r="H68" s="947"/>
    </row>
    <row r="69" spans="1:8" ht="12.75">
      <c r="A69" s="871" t="s">
        <v>881</v>
      </c>
      <c r="B69" s="927"/>
      <c r="C69" s="928"/>
      <c r="D69" s="946"/>
      <c r="E69" s="928"/>
      <c r="F69" s="928"/>
      <c r="G69" s="928"/>
      <c r="H69" s="947"/>
    </row>
    <row r="70" spans="1:8" ht="12.75">
      <c r="A70" s="890"/>
      <c r="B70" s="925"/>
      <c r="C70" s="919"/>
      <c r="D70" s="920"/>
      <c r="E70" s="921"/>
      <c r="F70" s="921"/>
      <c r="G70" s="921"/>
      <c r="H70" s="934"/>
    </row>
    <row r="71" spans="1:8" ht="12.75">
      <c r="A71" s="886" t="s">
        <v>1007</v>
      </c>
      <c r="B71" s="925"/>
      <c r="C71" s="919"/>
      <c r="D71" s="920"/>
      <c r="E71" s="921"/>
      <c r="F71" s="921"/>
      <c r="G71" s="921"/>
      <c r="H71" s="934"/>
    </row>
    <row r="72" spans="1:8" ht="12.75">
      <c r="A72" s="871" t="s">
        <v>1008</v>
      </c>
      <c r="B72" s="927"/>
      <c r="C72" s="928">
        <f>'Complete Budget Sheet'!C50</f>
        <v>33265</v>
      </c>
      <c r="D72" s="946">
        <f>'Complete Budget Sheet'!E50</f>
        <v>1247</v>
      </c>
      <c r="E72" s="949">
        <f>'Complete Budget Sheet'!G50</f>
        <v>2074072.75</v>
      </c>
      <c r="F72" s="949">
        <f>'Complete Budget Sheet'!I50</f>
        <v>2217.666666666667</v>
      </c>
      <c r="G72" s="924">
        <f>'Complete Budget Sheet'!K50</f>
        <v>2765430.3333333335</v>
      </c>
      <c r="H72" s="950">
        <f>'Complete Budget Sheet'!N50</f>
        <v>15</v>
      </c>
    </row>
    <row r="73" spans="1:8" ht="12.75">
      <c r="A73" s="871" t="s">
        <v>1009</v>
      </c>
      <c r="B73" s="927"/>
      <c r="C73" s="928"/>
      <c r="D73" s="946"/>
      <c r="E73" s="949"/>
      <c r="F73" s="949"/>
      <c r="G73" s="924"/>
      <c r="H73" s="950"/>
    </row>
    <row r="74" spans="1:8" ht="12.75">
      <c r="A74" s="890"/>
      <c r="B74" s="925"/>
      <c r="C74" s="919"/>
      <c r="D74" s="920"/>
      <c r="E74" s="921"/>
      <c r="F74" s="921"/>
      <c r="G74" s="921"/>
      <c r="H74" s="934"/>
    </row>
    <row r="75" spans="1:8" ht="12.75">
      <c r="A75" s="886" t="s">
        <v>1010</v>
      </c>
      <c r="B75" s="925"/>
      <c r="C75" s="919"/>
      <c r="D75" s="920"/>
      <c r="E75" s="921"/>
      <c r="F75" s="921"/>
      <c r="G75" s="921"/>
      <c r="H75" s="934"/>
    </row>
    <row r="76" spans="1:8" ht="12.75">
      <c r="A76" s="885" t="s">
        <v>1011</v>
      </c>
      <c r="B76" s="927"/>
      <c r="C76" s="927">
        <f>(('Complete Budget Sheet'!C12*'Complete Budget Sheet'!E12)+('Complete Budget Sheet'!C17*'Complete Budget Sheet'!E17)+('Complete Budget Sheet'!C64*'Complete Budget Sheet'!E64))/D76</f>
        <v>2402.3133333333335</v>
      </c>
      <c r="D76" s="952">
        <f>'Complete Budget Sheet'!E64+'Complete Budget Sheet'!E17+'Complete Budget Sheet'!E12</f>
        <v>3915</v>
      </c>
      <c r="E76" s="953"/>
      <c r="F76" s="954">
        <f>G76/D76</f>
        <v>354.9096652949246</v>
      </c>
      <c r="G76" s="914">
        <f>(('Complete Budget Sheet'!K12*'Complete Budget Sheet'!N12)+('Complete Budget Sheet'!K17*'Complete Budget Sheet'!N17)+('Complete Budget Sheet'!K64*'Complete Budget Sheet'!N64))/6</f>
        <v>1389471.3396296299</v>
      </c>
      <c r="H76" s="955">
        <f>'Complete Budget Sheet'!N17</f>
        <v>6</v>
      </c>
    </row>
    <row r="77" spans="1:8" ht="12.75">
      <c r="A77" s="885" t="s">
        <v>1012</v>
      </c>
      <c r="B77" s="927"/>
      <c r="C77" s="927"/>
      <c r="D77" s="952"/>
      <c r="E77" s="953"/>
      <c r="F77" s="953"/>
      <c r="G77" s="914"/>
      <c r="H77" s="955"/>
    </row>
    <row r="78" spans="1:8" ht="12.75">
      <c r="A78" s="885" t="s">
        <v>871</v>
      </c>
      <c r="B78" s="927"/>
      <c r="C78" s="927"/>
      <c r="D78" s="946"/>
      <c r="E78" s="949"/>
      <c r="F78" s="949"/>
      <c r="G78" s="924"/>
      <c r="H78" s="950"/>
    </row>
    <row r="79" spans="1:8" ht="12.75">
      <c r="A79" s="885" t="s">
        <v>1013</v>
      </c>
      <c r="B79" s="927"/>
      <c r="C79" s="927"/>
      <c r="D79" s="946"/>
      <c r="E79" s="949"/>
      <c r="F79" s="949"/>
      <c r="G79" s="924"/>
      <c r="H79" s="950"/>
    </row>
    <row r="80" spans="1:8" ht="12.75">
      <c r="A80" s="873" t="s">
        <v>1014</v>
      </c>
      <c r="B80" s="929"/>
      <c r="C80" s="929">
        <f>'Complete Budget Sheet'!C73</f>
        <v>500</v>
      </c>
      <c r="D80" s="930">
        <f>'Complete Budget Sheet'!E73</f>
        <v>174</v>
      </c>
      <c r="E80" s="931">
        <f>'Complete Budget Sheet'!G73</f>
        <v>0</v>
      </c>
      <c r="F80" s="931">
        <f>'Complete Budget Sheet'!I73</f>
        <v>83.33333333333333</v>
      </c>
      <c r="G80" s="932">
        <f>'Complete Budget Sheet'!K73</f>
        <v>14500</v>
      </c>
      <c r="H80" s="933">
        <f>'Complete Budget Sheet'!N73</f>
        <v>6</v>
      </c>
    </row>
    <row r="81" spans="1:8" ht="12.75">
      <c r="A81" s="873" t="s">
        <v>1015</v>
      </c>
      <c r="B81" s="929"/>
      <c r="C81" s="929"/>
      <c r="D81" s="930"/>
      <c r="E81" s="931"/>
      <c r="F81" s="931"/>
      <c r="G81" s="932"/>
      <c r="H81" s="933"/>
    </row>
    <row r="82" spans="1:8" ht="12.75">
      <c r="A82" s="891" t="s">
        <v>899</v>
      </c>
      <c r="B82" s="929"/>
      <c r="C82" s="929"/>
      <c r="D82" s="930"/>
      <c r="E82" s="931"/>
      <c r="F82" s="931"/>
      <c r="G82" s="932"/>
      <c r="H82" s="933"/>
    </row>
    <row r="83" spans="1:8" ht="12.75">
      <c r="A83" s="891" t="s">
        <v>902</v>
      </c>
      <c r="B83" s="929"/>
      <c r="C83" s="929"/>
      <c r="D83" s="930"/>
      <c r="E83" s="931"/>
      <c r="F83" s="931"/>
      <c r="G83" s="932"/>
      <c r="H83" s="933"/>
    </row>
    <row r="84" spans="1:8" ht="12.75">
      <c r="A84" s="885" t="s">
        <v>63</v>
      </c>
      <c r="B84" s="927"/>
      <c r="C84" s="927"/>
      <c r="D84" s="946"/>
      <c r="E84" s="949"/>
      <c r="F84" s="949"/>
      <c r="G84" s="924"/>
      <c r="H84" s="950"/>
    </row>
    <row r="85" spans="1:8" ht="12.75">
      <c r="A85" s="891" t="s">
        <v>900</v>
      </c>
      <c r="B85" s="929"/>
      <c r="C85" s="929"/>
      <c r="D85" s="930"/>
      <c r="E85" s="931"/>
      <c r="F85" s="931"/>
      <c r="G85" s="932"/>
      <c r="H85" s="933"/>
    </row>
    <row r="86" spans="1:8" ht="14.25">
      <c r="A86" s="874"/>
      <c r="B86" s="915"/>
      <c r="C86" s="923"/>
      <c r="D86" s="908"/>
      <c r="E86" s="923"/>
      <c r="F86" s="923"/>
      <c r="G86" s="923"/>
      <c r="H86" s="909"/>
    </row>
    <row r="87" spans="1:8" ht="15" thickBot="1">
      <c r="A87" s="870" t="s">
        <v>852</v>
      </c>
      <c r="B87" s="925"/>
      <c r="C87" s="919"/>
      <c r="D87" s="920"/>
      <c r="E87" s="921"/>
      <c r="F87" s="921"/>
      <c r="G87" s="921"/>
      <c r="H87" s="934"/>
    </row>
    <row r="88" spans="1:8" ht="13.5" thickTop="1">
      <c r="A88" s="892" t="s">
        <v>996</v>
      </c>
      <c r="B88" s="919"/>
      <c r="C88" s="919"/>
      <c r="D88" s="920"/>
      <c r="E88" s="919"/>
      <c r="F88" s="919"/>
      <c r="G88" s="919"/>
      <c r="H88" s="956"/>
    </row>
    <row r="89" spans="1:8" ht="12.75">
      <c r="A89" s="894" t="s">
        <v>1016</v>
      </c>
      <c r="B89" s="919"/>
      <c r="C89" s="919"/>
      <c r="D89" s="920"/>
      <c r="E89" s="919"/>
      <c r="F89" s="919"/>
      <c r="G89" s="919"/>
      <c r="H89" s="956"/>
    </row>
    <row r="90" spans="1:8" ht="12.75">
      <c r="A90" s="892"/>
      <c r="B90" s="919"/>
      <c r="C90" s="919"/>
      <c r="D90" s="920"/>
      <c r="E90" s="919"/>
      <c r="F90" s="919"/>
      <c r="G90" s="919"/>
      <c r="H90" s="956"/>
    </row>
    <row r="91" spans="1:8" ht="12.75">
      <c r="A91" s="892" t="s">
        <v>1000</v>
      </c>
      <c r="B91" s="919"/>
      <c r="C91" s="919"/>
      <c r="D91" s="920"/>
      <c r="E91" s="919"/>
      <c r="F91" s="919"/>
      <c r="G91" s="919"/>
      <c r="H91" s="956"/>
    </row>
    <row r="92" spans="1:8" ht="12.75">
      <c r="A92" s="888" t="s">
        <v>1001</v>
      </c>
      <c r="B92" s="927"/>
      <c r="C92" s="928"/>
      <c r="D92" s="946"/>
      <c r="E92" s="928"/>
      <c r="F92" s="928"/>
      <c r="G92" s="928"/>
      <c r="H92" s="947"/>
    </row>
    <row r="93" spans="1:8" ht="25.5">
      <c r="A93" s="884" t="s">
        <v>1002</v>
      </c>
      <c r="B93" s="927"/>
      <c r="C93" s="928"/>
      <c r="D93" s="946"/>
      <c r="E93" s="928"/>
      <c r="F93" s="928"/>
      <c r="G93" s="928"/>
      <c r="H93" s="947"/>
    </row>
    <row r="94" spans="1:8" ht="12.75">
      <c r="A94" s="885" t="s">
        <v>1003</v>
      </c>
      <c r="B94" s="927"/>
      <c r="C94" s="928"/>
      <c r="D94" s="946"/>
      <c r="E94" s="928"/>
      <c r="F94" s="928"/>
      <c r="G94" s="928"/>
      <c r="H94" s="947"/>
    </row>
    <row r="95" spans="1:8" ht="12.75">
      <c r="A95" s="885" t="s">
        <v>1004</v>
      </c>
      <c r="B95" s="927"/>
      <c r="C95" s="928"/>
      <c r="D95" s="946"/>
      <c r="E95" s="928"/>
      <c r="F95" s="928"/>
      <c r="G95" s="928"/>
      <c r="H95" s="947"/>
    </row>
    <row r="96" spans="1:8" ht="12.75">
      <c r="A96" s="889" t="s">
        <v>1005</v>
      </c>
      <c r="B96" s="927"/>
      <c r="C96" s="928"/>
      <c r="D96" s="946"/>
      <c r="E96" s="928"/>
      <c r="F96" s="928"/>
      <c r="G96" s="928"/>
      <c r="H96" s="947"/>
    </row>
    <row r="97" spans="1:8" ht="25.5">
      <c r="A97" s="885" t="s">
        <v>1002</v>
      </c>
      <c r="B97" s="927"/>
      <c r="C97" s="928"/>
      <c r="D97" s="946"/>
      <c r="E97" s="928"/>
      <c r="F97" s="928"/>
      <c r="G97" s="928"/>
      <c r="H97" s="947"/>
    </row>
    <row r="98" spans="1:8" ht="12.75">
      <c r="A98" s="871" t="s">
        <v>1006</v>
      </c>
      <c r="B98" s="919"/>
      <c r="C98" s="919"/>
      <c r="D98" s="920"/>
      <c r="E98" s="919"/>
      <c r="F98" s="919"/>
      <c r="G98" s="919"/>
      <c r="H98" s="956"/>
    </row>
    <row r="99" spans="1:8" ht="12.75">
      <c r="A99" s="871" t="s">
        <v>1004</v>
      </c>
      <c r="B99" s="919"/>
      <c r="C99" s="919"/>
      <c r="D99" s="920"/>
      <c r="E99" s="919"/>
      <c r="F99" s="919"/>
      <c r="G99" s="919"/>
      <c r="H99" s="956"/>
    </row>
    <row r="100" spans="1:8" ht="12.75">
      <c r="A100" s="871" t="s">
        <v>993</v>
      </c>
      <c r="B100" s="919"/>
      <c r="C100" s="919">
        <f>'Complete Budget Sheet'!AL118/5</f>
        <v>8000</v>
      </c>
      <c r="D100" s="920">
        <f>'Complete Budget Sheet'!AN118</f>
        <v>1247</v>
      </c>
      <c r="E100" s="919">
        <f>'Complete Budget Sheet'!AO118</f>
        <v>0</v>
      </c>
      <c r="F100" s="919">
        <f>'Complete Budget Sheet'!AP118</f>
        <v>0</v>
      </c>
      <c r="G100" s="919">
        <f>'Complete Budget Sheet'!AR118/5</f>
        <v>9976000</v>
      </c>
      <c r="H100" s="956">
        <f>'Complete Budget Sheet'!AU118</f>
        <v>1</v>
      </c>
    </row>
    <row r="101" spans="1:8" ht="12.75">
      <c r="A101" s="871"/>
      <c r="B101" s="919"/>
      <c r="C101" s="919"/>
      <c r="D101" s="920"/>
      <c r="E101" s="919"/>
      <c r="F101" s="919"/>
      <c r="G101" s="919"/>
      <c r="H101" s="956"/>
    </row>
    <row r="102" spans="1:8" ht="12.75">
      <c r="A102" s="895" t="s">
        <v>878</v>
      </c>
      <c r="B102" s="925"/>
      <c r="C102" s="919"/>
      <c r="D102" s="920"/>
      <c r="E102" s="921"/>
      <c r="F102" s="921"/>
      <c r="G102" s="921"/>
      <c r="H102" s="934"/>
    </row>
    <row r="103" spans="1:8" ht="12.75">
      <c r="A103" s="892"/>
      <c r="B103" s="927"/>
      <c r="C103" s="928"/>
      <c r="D103" s="946"/>
      <c r="E103" s="924"/>
      <c r="F103" s="949"/>
      <c r="G103" s="924"/>
      <c r="H103" s="911"/>
    </row>
    <row r="104" spans="1:8" ht="12.75">
      <c r="A104" s="892" t="s">
        <v>1017</v>
      </c>
      <c r="B104" s="927"/>
      <c r="C104" s="928"/>
      <c r="D104" s="946"/>
      <c r="E104" s="924"/>
      <c r="F104" s="949"/>
      <c r="G104" s="924"/>
      <c r="H104" s="911"/>
    </row>
    <row r="105" spans="1:8" ht="12.75">
      <c r="A105" s="885" t="s">
        <v>1011</v>
      </c>
      <c r="B105" s="927"/>
      <c r="C105" s="928">
        <f>'Complete Budget Sheet'!AL18</f>
        <v>2402.3133333333335</v>
      </c>
      <c r="D105" s="957">
        <f>'Complete Budget Sheet'!AN18+'Complete Budget Sheet'!AN64+'Complete Budget Sheet'!AN65+'Complete Budget Sheet'!AN67</f>
        <v>3741</v>
      </c>
      <c r="E105" s="949"/>
      <c r="F105" s="951">
        <f>G105/D105</f>
        <v>480.46266666666673</v>
      </c>
      <c r="G105" s="924">
        <f>(C105*D105)/H105</f>
        <v>1797410.8360000004</v>
      </c>
      <c r="H105" s="950">
        <f>'Complete Budget Sheet'!AU18</f>
        <v>5</v>
      </c>
    </row>
    <row r="106" spans="1:8" ht="12.75">
      <c r="A106" s="885" t="s">
        <v>1012</v>
      </c>
      <c r="B106" s="953"/>
      <c r="C106" s="928"/>
      <c r="D106" s="957"/>
      <c r="E106" s="949"/>
      <c r="F106" s="949"/>
      <c r="G106" s="924"/>
      <c r="H106" s="950"/>
    </row>
    <row r="107" spans="1:8" ht="12.75">
      <c r="A107" s="873" t="s">
        <v>1014</v>
      </c>
      <c r="B107" s="918"/>
      <c r="C107" s="926"/>
      <c r="D107" s="912"/>
      <c r="E107" s="926"/>
      <c r="F107" s="926"/>
      <c r="G107" s="926"/>
      <c r="H107" s="913"/>
    </row>
    <row r="108" spans="1:8" ht="12.75">
      <c r="A108" s="873" t="s">
        <v>1015</v>
      </c>
      <c r="B108" s="925"/>
      <c r="C108" s="919"/>
      <c r="D108" s="920"/>
      <c r="E108" s="921"/>
      <c r="F108" s="921"/>
      <c r="G108" s="921"/>
      <c r="H108" s="934"/>
    </row>
    <row r="109" spans="1:8" ht="12.75">
      <c r="A109" s="885" t="s">
        <v>993</v>
      </c>
      <c r="B109" s="918"/>
      <c r="C109" s="926">
        <f>'Complete Budget Sheet'!AL118/5</f>
        <v>8000</v>
      </c>
      <c r="D109" s="912">
        <f>'Complete Budget Sheet'!AN118</f>
        <v>1247</v>
      </c>
      <c r="E109" s="926">
        <f>'Complete Budget Sheet'!AO118</f>
        <v>0</v>
      </c>
      <c r="F109" s="926">
        <f>'Complete Budget Sheet'!AP118</f>
        <v>0</v>
      </c>
      <c r="G109" s="926">
        <f>'Complete Budget Sheet'!AR118/5</f>
        <v>9976000</v>
      </c>
      <c r="H109" s="913">
        <f>'Complete Budget Sheet'!AU118</f>
        <v>1</v>
      </c>
    </row>
    <row r="110" spans="1:8" ht="14.25">
      <c r="A110" s="893"/>
      <c r="B110" s="918"/>
      <c r="C110" s="926"/>
      <c r="D110" s="912"/>
      <c r="E110" s="926"/>
      <c r="F110" s="926"/>
      <c r="G110" s="926"/>
      <c r="H110" s="913"/>
    </row>
    <row r="111" spans="1:8" ht="15.75">
      <c r="A111" s="896" t="s">
        <v>1018</v>
      </c>
      <c r="B111" s="918"/>
      <c r="C111" s="926"/>
      <c r="D111" s="912"/>
      <c r="E111" s="926"/>
      <c r="F111" s="926"/>
      <c r="G111" s="926"/>
      <c r="H111" s="913"/>
    </row>
    <row r="112" spans="1:8" ht="47.25">
      <c r="A112" s="878" t="s">
        <v>1019</v>
      </c>
      <c r="B112" s="925"/>
      <c r="C112" s="919"/>
      <c r="D112" s="920"/>
      <c r="E112" s="921"/>
      <c r="F112" s="921"/>
      <c r="G112" s="921"/>
      <c r="H112" s="934"/>
    </row>
    <row r="113" spans="1:8" ht="15" thickBot="1">
      <c r="A113" s="870" t="s">
        <v>853</v>
      </c>
      <c r="B113" s="929"/>
      <c r="C113" s="935"/>
      <c r="D113" s="930"/>
      <c r="E113" s="931"/>
      <c r="F113" s="931"/>
      <c r="G113" s="932"/>
      <c r="H113" s="933"/>
    </row>
    <row r="114" spans="1:8" ht="13.5" thickTop="1">
      <c r="A114" s="871" t="s">
        <v>855</v>
      </c>
      <c r="B114" s="929"/>
      <c r="C114" s="929">
        <f>'Complete Budget Sheet'!C5</f>
        <v>673.90625</v>
      </c>
      <c r="D114" s="930">
        <f>'Complete Budget Sheet'!E5</f>
        <v>197725.68766666666</v>
      </c>
      <c r="E114" s="931">
        <f>'Complete Budget Sheet'!G5</f>
        <v>4729984.014077617</v>
      </c>
      <c r="F114" s="931">
        <f>'Complete Budget Sheet'!I5</f>
        <v>134.78125</v>
      </c>
      <c r="G114" s="932">
        <f>'Complete Budget Sheet'!K5</f>
        <v>26649715.340822916</v>
      </c>
      <c r="H114" s="933">
        <f>'Complete Budget Sheet'!N5</f>
        <v>5</v>
      </c>
    </row>
    <row r="115" spans="1:8" ht="12.75">
      <c r="A115" s="871" t="s">
        <v>19</v>
      </c>
      <c r="B115" s="918"/>
      <c r="C115" s="926">
        <f>'Complete Budget Sheet'!C7</f>
        <v>0</v>
      </c>
      <c r="D115" s="912">
        <f>'Complete Budget Sheet'!E7</f>
        <v>0</v>
      </c>
      <c r="E115" s="926">
        <f>'Complete Budget Sheet'!G7</f>
        <v>0</v>
      </c>
      <c r="F115" s="926">
        <f>'Complete Budget Sheet'!I7</f>
        <v>0</v>
      </c>
      <c r="G115" s="926">
        <f>'Complete Budget Sheet'!K7</f>
        <v>0</v>
      </c>
      <c r="H115" s="913">
        <f>'Complete Budget Sheet'!N7</f>
        <v>0</v>
      </c>
    </row>
    <row r="116" spans="1:8" ht="12.75">
      <c r="A116" s="885" t="s">
        <v>20</v>
      </c>
      <c r="B116" s="918"/>
      <c r="C116" s="926">
        <f>'Complete Budget Sheet'!C8</f>
        <v>962.90625</v>
      </c>
      <c r="D116" s="912">
        <f>'Complete Budget Sheet'!E8</f>
        <v>44088</v>
      </c>
      <c r="E116" s="926">
        <f>'Complete Budget Sheet'!G8</f>
        <v>1519715.5644</v>
      </c>
      <c r="F116" s="926">
        <f>'Complete Budget Sheet'!I8</f>
        <v>160.484375</v>
      </c>
      <c r="G116" s="926">
        <f>'Complete Budget Sheet'!K8</f>
        <v>7075435.125</v>
      </c>
      <c r="H116" s="913">
        <f>'Complete Budget Sheet'!N8</f>
        <v>5</v>
      </c>
    </row>
    <row r="117" spans="1:8" ht="12.75">
      <c r="A117" s="897" t="s">
        <v>1020</v>
      </c>
      <c r="B117" s="929"/>
      <c r="C117" s="932">
        <f>F117*H117</f>
        <v>777.4463776977899</v>
      </c>
      <c r="D117" s="916">
        <f>'Complete Budget Sheet'!E15+'Complete Budget Sheet'!E60+'Complete Budget Sheet'!AN61</f>
        <v>8105.4</v>
      </c>
      <c r="E117" s="935"/>
      <c r="F117" s="958">
        <f>G117/D117</f>
        <v>155.48927553955798</v>
      </c>
      <c r="G117" s="935">
        <f>'Complete Budget Sheet'!K15+'Complete Budget Sheet'!K60+'Complete Budget Sheet'!AR61</f>
        <v>1260302.7739583333</v>
      </c>
      <c r="H117" s="917">
        <f>'Complete Budget Sheet'!N15</f>
        <v>5</v>
      </c>
    </row>
    <row r="118" spans="1:8" ht="12.75">
      <c r="A118" s="898"/>
      <c r="B118" s="918"/>
      <c r="C118" s="926"/>
      <c r="D118" s="912"/>
      <c r="E118" s="926"/>
      <c r="F118" s="926"/>
      <c r="G118" s="926"/>
      <c r="H118" s="913"/>
    </row>
    <row r="119" spans="1:8" ht="15" thickBot="1">
      <c r="A119" s="870" t="s">
        <v>852</v>
      </c>
      <c r="B119" s="925"/>
      <c r="C119" s="919"/>
      <c r="D119" s="920"/>
      <c r="E119" s="921"/>
      <c r="F119" s="921"/>
      <c r="G119" s="921"/>
      <c r="H119" s="934"/>
    </row>
    <row r="120" spans="1:8" ht="13.5" thickTop="1">
      <c r="A120" s="871" t="s">
        <v>1021</v>
      </c>
      <c r="B120" s="918"/>
      <c r="C120" s="926">
        <f>'Complete Budget Sheet'!AL6</f>
        <v>673.90625</v>
      </c>
      <c r="D120" s="912">
        <f>'Complete Budget Sheet'!AN6</f>
        <v>395451.3753333333</v>
      </c>
      <c r="E120" s="926">
        <f>'Complete Budget Sheet'!AO6</f>
        <v>0</v>
      </c>
      <c r="F120" s="926">
        <f>'Complete Budget Sheet'!AP6</f>
        <v>0</v>
      </c>
      <c r="G120" s="926">
        <f>'Complete Budget Sheet'!AR6</f>
        <v>53299430.681645826</v>
      </c>
      <c r="H120" s="913">
        <f>'Complete Budget Sheet'!AU6</f>
        <v>5</v>
      </c>
    </row>
    <row r="121" spans="1:8" ht="12.75">
      <c r="A121" s="885" t="s">
        <v>993</v>
      </c>
      <c r="B121" s="918"/>
      <c r="C121" s="926">
        <f>'Complete Budget Sheet'!AL118/5</f>
        <v>8000</v>
      </c>
      <c r="D121" s="912">
        <f>'Complete Budget Sheet'!AN118</f>
        <v>1247</v>
      </c>
      <c r="E121" s="926">
        <f>'Complete Budget Sheet'!AO118</f>
        <v>0</v>
      </c>
      <c r="F121" s="926">
        <f>'Complete Budget Sheet'!AP118</f>
        <v>0</v>
      </c>
      <c r="G121" s="926">
        <f>'Complete Budget Sheet'!AR118/5</f>
        <v>9976000</v>
      </c>
      <c r="H121" s="913">
        <f>'Complete Budget Sheet'!AU118</f>
        <v>1</v>
      </c>
    </row>
    <row r="122" spans="1:8" ht="12.75">
      <c r="A122" s="898"/>
      <c r="B122" s="918"/>
      <c r="C122" s="926"/>
      <c r="D122" s="912"/>
      <c r="E122" s="926"/>
      <c r="F122" s="926"/>
      <c r="G122" s="926"/>
      <c r="H122" s="913"/>
    </row>
    <row r="123" spans="1:8" ht="15.75">
      <c r="A123" s="896" t="s">
        <v>1022</v>
      </c>
      <c r="B123" s="918"/>
      <c r="C123" s="926"/>
      <c r="D123" s="912"/>
      <c r="E123" s="926"/>
      <c r="F123" s="926"/>
      <c r="G123" s="926"/>
      <c r="H123" s="913"/>
    </row>
    <row r="124" spans="1:8" ht="63">
      <c r="A124" s="878" t="s">
        <v>1023</v>
      </c>
      <c r="B124" s="918"/>
      <c r="C124" s="926"/>
      <c r="D124" s="912"/>
      <c r="E124" s="926"/>
      <c r="F124" s="926"/>
      <c r="G124" s="926"/>
      <c r="H124" s="913"/>
    </row>
    <row r="125" spans="1:8" ht="15" thickBot="1">
      <c r="A125" s="870" t="s">
        <v>853</v>
      </c>
      <c r="B125" s="927"/>
      <c r="C125" s="924"/>
      <c r="D125" s="910"/>
      <c r="E125" s="928"/>
      <c r="F125" s="928"/>
      <c r="G125" s="919"/>
      <c r="H125" s="911"/>
    </row>
    <row r="126" spans="1:8" ht="13.5" thickTop="1">
      <c r="A126" s="873" t="s">
        <v>136</v>
      </c>
      <c r="B126" s="927"/>
      <c r="C126" s="924">
        <f>'Complete Budget Sheet'!C104</f>
        <v>51399</v>
      </c>
      <c r="D126" s="910">
        <f>'Complete Budget Sheet'!E104</f>
        <v>174</v>
      </c>
      <c r="E126" s="924">
        <f>'Complete Budget Sheet'!G104</f>
        <v>0</v>
      </c>
      <c r="F126" s="928">
        <f>'Complete Budget Sheet'!I104</f>
        <v>51399</v>
      </c>
      <c r="G126" s="919">
        <f>'Complete Budget Sheet'!K104</f>
        <v>8943426</v>
      </c>
      <c r="H126" s="911">
        <f>'Complete Budget Sheet'!N104</f>
        <v>1</v>
      </c>
    </row>
    <row r="127" spans="1:8" ht="12.75">
      <c r="A127" s="873" t="s">
        <v>889</v>
      </c>
      <c r="B127" s="927"/>
      <c r="C127" s="928">
        <f>G127/D127</f>
        <v>5000</v>
      </c>
      <c r="D127" s="946">
        <f>'Complete Budget Sheet'!E105</f>
        <v>1247</v>
      </c>
      <c r="E127" s="924"/>
      <c r="F127" s="924">
        <f>G127/D127</f>
        <v>5000</v>
      </c>
      <c r="G127" s="924">
        <f>'Complete Budget Sheet'!K105+'Complete Budget Sheet'!AR106</f>
        <v>6235000</v>
      </c>
      <c r="H127" s="911">
        <f>'Complete Budget Sheet'!N105</f>
        <v>1</v>
      </c>
    </row>
    <row r="128" spans="1:8" ht="12.75">
      <c r="A128" s="899" t="s">
        <v>1024</v>
      </c>
      <c r="B128" s="918"/>
      <c r="C128" s="926">
        <f>'Complete Budget Sheet'!AL118/5</f>
        <v>8000</v>
      </c>
      <c r="D128" s="912">
        <f>'Complete Budget Sheet'!AN118</f>
        <v>1247</v>
      </c>
      <c r="E128" s="926">
        <f>'Complete Budget Sheet'!AO118</f>
        <v>0</v>
      </c>
      <c r="F128" s="926">
        <f>'Complete Budget Sheet'!AP118</f>
        <v>0</v>
      </c>
      <c r="G128" s="926">
        <f>'Complete Budget Sheet'!AR118/5</f>
        <v>9976000</v>
      </c>
      <c r="H128" s="913">
        <f>'Complete Budget Sheet'!AU118</f>
        <v>1</v>
      </c>
    </row>
    <row r="129" spans="1:8" ht="25.5">
      <c r="A129" s="900" t="s">
        <v>1025</v>
      </c>
      <c r="B129" s="918"/>
      <c r="C129" s="926"/>
      <c r="D129" s="912"/>
      <c r="E129" s="926"/>
      <c r="F129" s="926"/>
      <c r="G129" s="926"/>
      <c r="H129" s="913"/>
    </row>
    <row r="130" spans="1:8" ht="12.75">
      <c r="A130" s="891" t="s">
        <v>1026</v>
      </c>
      <c r="B130" s="918"/>
      <c r="C130" s="926"/>
      <c r="D130" s="912"/>
      <c r="E130" s="926"/>
      <c r="F130" s="926"/>
      <c r="G130" s="926"/>
      <c r="H130" s="913"/>
    </row>
    <row r="131" spans="1:8" ht="12.75">
      <c r="A131" s="898"/>
      <c r="B131" s="918"/>
      <c r="C131" s="926"/>
      <c r="D131" s="912"/>
      <c r="E131" s="926"/>
      <c r="F131" s="926"/>
      <c r="G131" s="926"/>
      <c r="H131" s="913"/>
    </row>
    <row r="132" spans="1:8" ht="15" thickBot="1">
      <c r="A132" s="870" t="s">
        <v>852</v>
      </c>
      <c r="B132" s="918"/>
      <c r="C132" s="926"/>
      <c r="D132" s="912"/>
      <c r="E132" s="926"/>
      <c r="F132" s="926"/>
      <c r="G132" s="926"/>
      <c r="H132" s="913"/>
    </row>
    <row r="133" spans="1:8" ht="15" thickTop="1">
      <c r="A133" s="881"/>
      <c r="B133" s="927"/>
      <c r="C133" s="924"/>
      <c r="D133" s="910"/>
      <c r="E133" s="928"/>
      <c r="F133" s="928"/>
      <c r="G133" s="928"/>
      <c r="H133" s="911"/>
    </row>
    <row r="134" spans="1:8" ht="14.25">
      <c r="A134" s="881"/>
      <c r="B134" s="927"/>
      <c r="C134" s="924"/>
      <c r="D134" s="910"/>
      <c r="E134" s="928"/>
      <c r="F134" s="928"/>
      <c r="G134" s="928"/>
      <c r="H134" s="911"/>
    </row>
    <row r="135" spans="1:8" ht="18">
      <c r="A135" s="962" t="s">
        <v>151</v>
      </c>
      <c r="B135" s="927"/>
      <c r="C135" s="924"/>
      <c r="D135" s="910"/>
      <c r="E135" s="928"/>
      <c r="F135" s="928"/>
      <c r="G135" s="928">
        <f>SUM(G6:G130)</f>
        <v>220156010.34522337</v>
      </c>
      <c r="H135" s="911"/>
    </row>
    <row r="136" spans="1:8" ht="14.25">
      <c r="A136" s="881"/>
      <c r="B136" s="927"/>
      <c r="C136" s="924"/>
      <c r="D136" s="910"/>
      <c r="E136" s="928"/>
      <c r="F136" s="928"/>
      <c r="G136" s="928"/>
      <c r="H136" s="911"/>
    </row>
    <row r="137" spans="1:8" ht="14.25">
      <c r="A137" s="881"/>
      <c r="B137" s="927"/>
      <c r="C137" s="924"/>
      <c r="D137" s="910"/>
      <c r="E137" s="928"/>
      <c r="F137" s="928"/>
      <c r="G137" s="928"/>
      <c r="H137" s="911"/>
    </row>
    <row r="138" spans="1:8" ht="15.75">
      <c r="A138" s="896" t="s">
        <v>1027</v>
      </c>
      <c r="B138" s="927"/>
      <c r="C138" s="924"/>
      <c r="D138" s="910"/>
      <c r="E138" s="928"/>
      <c r="F138" s="928"/>
      <c r="G138" s="928"/>
      <c r="H138" s="911"/>
    </row>
    <row r="139" spans="1:8" ht="31.5">
      <c r="A139" s="878" t="s">
        <v>1028</v>
      </c>
      <c r="B139" s="927"/>
      <c r="C139" s="924"/>
      <c r="D139" s="910"/>
      <c r="E139" s="924"/>
      <c r="F139" s="928"/>
      <c r="G139" s="924"/>
      <c r="H139" s="911"/>
    </row>
    <row r="140" spans="1:8" ht="14.25">
      <c r="A140" s="881"/>
      <c r="B140" s="927"/>
      <c r="C140" s="924"/>
      <c r="D140" s="910"/>
      <c r="E140" s="928"/>
      <c r="F140" s="928"/>
      <c r="G140" s="928"/>
      <c r="H140" s="911"/>
    </row>
    <row r="141" spans="1:8" ht="15" thickBot="1">
      <c r="A141" s="870" t="s">
        <v>853</v>
      </c>
      <c r="B141" s="927"/>
      <c r="C141" s="924"/>
      <c r="D141" s="910"/>
      <c r="E141" s="928"/>
      <c r="F141" s="928"/>
      <c r="G141" s="928"/>
      <c r="H141" s="911"/>
    </row>
    <row r="142" spans="1:8" ht="13.5" thickTop="1">
      <c r="A142" s="871" t="s">
        <v>893</v>
      </c>
      <c r="B142" s="914"/>
      <c r="C142" s="924"/>
      <c r="D142" s="910"/>
      <c r="E142" s="924"/>
      <c r="F142" s="924"/>
      <c r="G142" s="924"/>
      <c r="H142" s="911"/>
    </row>
    <row r="143" spans="1:8" ht="12.75">
      <c r="A143" s="871" t="s">
        <v>887</v>
      </c>
      <c r="B143" s="914"/>
      <c r="C143" s="924"/>
      <c r="D143" s="910"/>
      <c r="E143" s="924"/>
      <c r="F143" s="924"/>
      <c r="G143" s="924"/>
      <c r="H143" s="911"/>
    </row>
    <row r="144" spans="1:8" ht="12.75">
      <c r="A144" s="871" t="s">
        <v>888</v>
      </c>
      <c r="B144" s="914"/>
      <c r="C144" s="924"/>
      <c r="D144" s="910"/>
      <c r="E144" s="924"/>
      <c r="F144" s="924"/>
      <c r="G144" s="924"/>
      <c r="H144" s="911"/>
    </row>
    <row r="145" spans="1:8" ht="12.75">
      <c r="A145" s="885" t="s">
        <v>1029</v>
      </c>
      <c r="B145" s="939"/>
      <c r="C145" s="940"/>
      <c r="D145" s="941"/>
      <c r="E145" s="942"/>
      <c r="F145" s="942"/>
      <c r="G145" s="942"/>
      <c r="H145" s="945"/>
    </row>
    <row r="146" spans="1:8" ht="12.75">
      <c r="A146" s="885" t="s">
        <v>1030</v>
      </c>
      <c r="B146" s="939"/>
      <c r="C146" s="940"/>
      <c r="D146" s="941"/>
      <c r="E146" s="942"/>
      <c r="F146" s="942"/>
      <c r="G146" s="942"/>
      <c r="H146" s="945"/>
    </row>
    <row r="147" spans="1:8" ht="12.75">
      <c r="A147" s="898" t="s">
        <v>1031</v>
      </c>
      <c r="B147" s="939"/>
      <c r="C147" s="940"/>
      <c r="D147" s="941"/>
      <c r="E147" s="942"/>
      <c r="F147" s="942"/>
      <c r="G147" s="942"/>
      <c r="H147" s="945"/>
    </row>
    <row r="148" spans="1:8" ht="12.75">
      <c r="A148" s="885" t="s">
        <v>1032</v>
      </c>
      <c r="B148" s="939"/>
      <c r="C148" s="940"/>
      <c r="D148" s="941"/>
      <c r="E148" s="940"/>
      <c r="F148" s="940"/>
      <c r="G148" s="940"/>
      <c r="H148" s="959"/>
    </row>
    <row r="149" spans="1:8" ht="12.75">
      <c r="A149" s="885" t="s">
        <v>1033</v>
      </c>
      <c r="B149" s="939"/>
      <c r="C149" s="940"/>
      <c r="D149" s="941"/>
      <c r="E149" s="942"/>
      <c r="F149" s="942"/>
      <c r="G149" s="960"/>
      <c r="H149" s="945"/>
    </row>
    <row r="150" spans="1:8" ht="12.75">
      <c r="A150" s="885" t="s">
        <v>1034</v>
      </c>
      <c r="B150" s="918"/>
      <c r="C150" s="926"/>
      <c r="D150" s="912"/>
      <c r="E150" s="926"/>
      <c r="F150" s="926"/>
      <c r="G150" s="926"/>
      <c r="H150" s="913"/>
    </row>
    <row r="151" spans="1:8" ht="12.75">
      <c r="A151" s="885" t="s">
        <v>910</v>
      </c>
      <c r="B151" s="918"/>
      <c r="C151" s="926"/>
      <c r="D151" s="912"/>
      <c r="E151" s="926"/>
      <c r="F151" s="926"/>
      <c r="G151" s="926"/>
      <c r="H151" s="913"/>
    </row>
    <row r="152" spans="1:8" ht="12.75">
      <c r="A152" s="885" t="s">
        <v>915</v>
      </c>
      <c r="B152" s="918"/>
      <c r="C152" s="926"/>
      <c r="D152" s="912"/>
      <c r="E152" s="926"/>
      <c r="F152" s="926"/>
      <c r="G152" s="926"/>
      <c r="H152" s="913"/>
    </row>
    <row r="153" spans="1:8" ht="12.75">
      <c r="A153" s="885" t="s">
        <v>918</v>
      </c>
      <c r="B153" s="918"/>
      <c r="C153" s="926"/>
      <c r="D153" s="912"/>
      <c r="E153" s="926"/>
      <c r="F153" s="926"/>
      <c r="G153" s="926"/>
      <c r="H153" s="913"/>
    </row>
    <row r="154" spans="1:8" ht="12.75">
      <c r="A154" s="885" t="s">
        <v>808</v>
      </c>
      <c r="B154" s="918"/>
      <c r="C154" s="926"/>
      <c r="D154" s="912"/>
      <c r="E154" s="926"/>
      <c r="F154" s="926"/>
      <c r="G154" s="926"/>
      <c r="H154" s="913"/>
    </row>
    <row r="155" spans="1:8" ht="12.75">
      <c r="A155" s="872" t="s">
        <v>1035</v>
      </c>
      <c r="B155" s="918"/>
      <c r="C155" s="926"/>
      <c r="D155" s="912"/>
      <c r="E155" s="926"/>
      <c r="F155" s="926"/>
      <c r="G155" s="926"/>
      <c r="H155" s="913"/>
    </row>
    <row r="156" spans="1:8" ht="12.75">
      <c r="A156" s="872" t="s">
        <v>1036</v>
      </c>
      <c r="B156" s="918"/>
      <c r="C156" s="926"/>
      <c r="D156" s="912"/>
      <c r="E156" s="926"/>
      <c r="F156" s="926"/>
      <c r="G156" s="926"/>
      <c r="H156" s="913"/>
    </row>
    <row r="157" spans="1:8" ht="12.75">
      <c r="A157" s="872" t="s">
        <v>1037</v>
      </c>
      <c r="B157" s="918"/>
      <c r="C157" s="926"/>
      <c r="D157" s="912"/>
      <c r="E157" s="926"/>
      <c r="F157" s="926"/>
      <c r="G157" s="926"/>
      <c r="H157" s="913"/>
    </row>
    <row r="158" spans="1:8" ht="12.75">
      <c r="A158" s="901" t="s">
        <v>104</v>
      </c>
      <c r="B158" s="918"/>
      <c r="C158" s="926"/>
      <c r="D158" s="912"/>
      <c r="E158" s="926"/>
      <c r="F158" s="926"/>
      <c r="G158" s="926"/>
      <c r="H158" s="913"/>
    </row>
    <row r="159" spans="1:8" ht="25.5">
      <c r="A159" s="901" t="s">
        <v>923</v>
      </c>
      <c r="B159" s="918"/>
      <c r="C159" s="926"/>
      <c r="D159" s="912"/>
      <c r="E159" s="926"/>
      <c r="F159" s="926"/>
      <c r="G159" s="926"/>
      <c r="H159" s="913"/>
    </row>
    <row r="160" spans="1:8" ht="25.5">
      <c r="A160" s="901" t="s">
        <v>924</v>
      </c>
      <c r="B160" s="918"/>
      <c r="C160" s="926"/>
      <c r="D160" s="912"/>
      <c r="E160" s="926"/>
      <c r="F160" s="926"/>
      <c r="G160" s="926"/>
      <c r="H160" s="913"/>
    </row>
    <row r="161" spans="1:8" ht="25.5">
      <c r="A161" s="901" t="s">
        <v>925</v>
      </c>
      <c r="B161" s="918"/>
      <c r="C161" s="926"/>
      <c r="D161" s="912"/>
      <c r="E161" s="926"/>
      <c r="F161" s="926"/>
      <c r="G161" s="926"/>
      <c r="H161" s="913"/>
    </row>
    <row r="162" spans="1:7" ht="14.25">
      <c r="A162" s="901" t="s">
        <v>926</v>
      </c>
      <c r="B162" s="882"/>
      <c r="C162" s="961"/>
      <c r="E162" s="961"/>
      <c r="F162" s="961"/>
      <c r="G162" s="961"/>
    </row>
    <row r="163" spans="2:7" ht="12.75">
      <c r="B163" s="256"/>
      <c r="C163" s="961"/>
      <c r="E163" s="961"/>
      <c r="F163" s="961"/>
      <c r="G163" s="961"/>
    </row>
    <row r="164" spans="2:7" ht="12.75">
      <c r="B164" s="256"/>
      <c r="C164" s="961"/>
      <c r="E164" s="961"/>
      <c r="F164" s="961"/>
      <c r="G164" s="961"/>
    </row>
    <row r="165" spans="2:7" ht="12.75">
      <c r="B165" s="256"/>
      <c r="C165" s="961"/>
      <c r="E165" s="961"/>
      <c r="F165" s="961"/>
      <c r="G165" s="961"/>
    </row>
    <row r="166" spans="2:7" ht="12.75">
      <c r="B166" s="256"/>
      <c r="C166" s="961"/>
      <c r="E166" s="961"/>
      <c r="F166" s="961"/>
      <c r="G166" s="961"/>
    </row>
    <row r="167" spans="2:7" ht="12.75">
      <c r="B167" s="256"/>
      <c r="C167" s="961"/>
      <c r="E167" s="961"/>
      <c r="F167" s="961"/>
      <c r="G167" s="961"/>
    </row>
    <row r="168" spans="2:7" ht="12.75">
      <c r="B168" s="256"/>
      <c r="C168" s="961"/>
      <c r="E168" s="961"/>
      <c r="F168" s="961"/>
      <c r="G168" s="961"/>
    </row>
    <row r="169" spans="2:7" ht="12.75">
      <c r="B169" s="256"/>
      <c r="C169" s="961"/>
      <c r="E169" s="961"/>
      <c r="F169" s="961"/>
      <c r="G169" s="961"/>
    </row>
    <row r="170" spans="2:7" ht="12.75">
      <c r="B170" s="256"/>
      <c r="C170" s="961"/>
      <c r="E170" s="961"/>
      <c r="F170" s="961"/>
      <c r="G170" s="961"/>
    </row>
    <row r="171" spans="2:7" ht="12.75">
      <c r="B171" s="256"/>
      <c r="C171" s="961"/>
      <c r="E171" s="961"/>
      <c r="F171" s="961"/>
      <c r="G171" s="961"/>
    </row>
    <row r="172" spans="2:7" ht="12.75">
      <c r="B172" s="256"/>
      <c r="C172" s="961"/>
      <c r="E172" s="961"/>
      <c r="F172" s="961"/>
      <c r="G172" s="961"/>
    </row>
    <row r="173" spans="2:7" ht="12.75">
      <c r="B173" s="256"/>
      <c r="C173" s="961"/>
      <c r="E173" s="961"/>
      <c r="F173" s="961"/>
      <c r="G173" s="961"/>
    </row>
    <row r="174" spans="2:7" ht="12.75">
      <c r="B174" s="256"/>
      <c r="C174" s="961"/>
      <c r="E174" s="961"/>
      <c r="F174" s="961"/>
      <c r="G174" s="961"/>
    </row>
    <row r="175" spans="2:7" ht="12.75">
      <c r="B175" s="256"/>
      <c r="C175" s="961"/>
      <c r="E175" s="961"/>
      <c r="F175" s="961"/>
      <c r="G175" s="961"/>
    </row>
    <row r="176" spans="2:7" ht="12.75">
      <c r="B176" s="256"/>
      <c r="C176" s="961"/>
      <c r="E176" s="961"/>
      <c r="F176" s="961"/>
      <c r="G176" s="961"/>
    </row>
    <row r="177" spans="2:7" ht="12.75">
      <c r="B177" s="256"/>
      <c r="C177" s="961"/>
      <c r="E177" s="961"/>
      <c r="F177" s="961"/>
      <c r="G177" s="961"/>
    </row>
    <row r="178" spans="2:7" ht="12.75">
      <c r="B178" s="256"/>
      <c r="C178" s="961"/>
      <c r="E178" s="961"/>
      <c r="F178" s="961"/>
      <c r="G178" s="961"/>
    </row>
    <row r="179" spans="2:7" ht="12.75">
      <c r="B179" s="256"/>
      <c r="C179" s="961"/>
      <c r="E179" s="961"/>
      <c r="F179" s="961"/>
      <c r="G179" s="961"/>
    </row>
    <row r="180" spans="2:7" ht="12.75">
      <c r="B180" s="256"/>
      <c r="C180" s="961"/>
      <c r="E180" s="961"/>
      <c r="F180" s="961"/>
      <c r="G180" s="961"/>
    </row>
    <row r="181" spans="2:7" ht="12.75">
      <c r="B181" s="256"/>
      <c r="C181" s="961"/>
      <c r="E181" s="961"/>
      <c r="F181" s="961"/>
      <c r="G181" s="961"/>
    </row>
    <row r="182" spans="2:7" ht="12.75">
      <c r="B182" s="256"/>
      <c r="C182" s="961"/>
      <c r="E182" s="961"/>
      <c r="F182" s="961"/>
      <c r="G182" s="961"/>
    </row>
    <row r="183" spans="2:7" ht="12.75">
      <c r="B183" s="256"/>
      <c r="C183" s="961"/>
      <c r="E183" s="961"/>
      <c r="F183" s="961"/>
      <c r="G183" s="961"/>
    </row>
    <row r="184" spans="2:7" ht="12.75">
      <c r="B184" s="256"/>
      <c r="C184" s="961"/>
      <c r="E184" s="961"/>
      <c r="F184" s="961"/>
      <c r="G184" s="961"/>
    </row>
    <row r="185" spans="2:7" ht="12.75">
      <c r="B185" s="256"/>
      <c r="C185" s="961"/>
      <c r="E185" s="961"/>
      <c r="F185" s="961"/>
      <c r="G185" s="961"/>
    </row>
    <row r="186" spans="2:7" ht="12.75">
      <c r="B186" s="256"/>
      <c r="C186" s="961"/>
      <c r="E186" s="961"/>
      <c r="F186" s="961"/>
      <c r="G186" s="961"/>
    </row>
    <row r="187" spans="2:7" ht="12.75">
      <c r="B187" s="256"/>
      <c r="C187" s="961"/>
      <c r="E187" s="961"/>
      <c r="F187" s="961"/>
      <c r="G187" s="961"/>
    </row>
    <row r="188" spans="2:7" ht="12.75">
      <c r="B188" s="256"/>
      <c r="C188" s="961"/>
      <c r="E188" s="961"/>
      <c r="F188" s="961"/>
      <c r="G188" s="961"/>
    </row>
    <row r="189" spans="2:7" ht="12.75">
      <c r="B189" s="256"/>
      <c r="C189" s="961"/>
      <c r="E189" s="961"/>
      <c r="F189" s="961"/>
      <c r="G189" s="961"/>
    </row>
    <row r="190" spans="2:7" ht="12.75">
      <c r="B190" s="256"/>
      <c r="C190" s="961"/>
      <c r="E190" s="961"/>
      <c r="F190" s="961"/>
      <c r="G190" s="961"/>
    </row>
    <row r="191" spans="2:7" ht="12.75">
      <c r="B191" s="256"/>
      <c r="C191" s="961"/>
      <c r="E191" s="961"/>
      <c r="F191" s="961"/>
      <c r="G191" s="961"/>
    </row>
    <row r="192" spans="2:7" ht="12.75">
      <c r="B192" s="256"/>
      <c r="C192" s="961"/>
      <c r="E192" s="961"/>
      <c r="F192" s="961"/>
      <c r="G192" s="961"/>
    </row>
    <row r="193" spans="2:7" ht="12.75">
      <c r="B193" s="256"/>
      <c r="C193" s="961"/>
      <c r="E193" s="961"/>
      <c r="F193" s="961"/>
      <c r="G193" s="961"/>
    </row>
    <row r="194" spans="2:7" ht="12.75">
      <c r="B194" s="256"/>
      <c r="C194" s="961"/>
      <c r="E194" s="961"/>
      <c r="F194" s="961"/>
      <c r="G194" s="961"/>
    </row>
    <row r="195" spans="2:7" ht="12.75">
      <c r="B195" s="256"/>
      <c r="C195" s="961"/>
      <c r="E195" s="961"/>
      <c r="F195" s="961"/>
      <c r="G195" s="961"/>
    </row>
    <row r="196" spans="2:7" ht="12.75">
      <c r="B196" s="256"/>
      <c r="C196" s="961"/>
      <c r="E196" s="961"/>
      <c r="F196" s="961"/>
      <c r="G196" s="961"/>
    </row>
    <row r="197" spans="2:7" ht="12.75">
      <c r="B197" s="256"/>
      <c r="C197" s="961"/>
      <c r="E197" s="961"/>
      <c r="F197" s="961"/>
      <c r="G197" s="961"/>
    </row>
    <row r="198" spans="2:7" ht="12.75">
      <c r="B198" s="256"/>
      <c r="C198" s="961"/>
      <c r="E198" s="961"/>
      <c r="F198" s="961"/>
      <c r="G198" s="961"/>
    </row>
    <row r="199" spans="2:7" ht="12.75">
      <c r="B199" s="256"/>
      <c r="C199" s="961"/>
      <c r="E199" s="961"/>
      <c r="F199" s="961"/>
      <c r="G199" s="961"/>
    </row>
    <row r="200" spans="2:7" ht="12.75">
      <c r="B200" s="256"/>
      <c r="C200" s="961"/>
      <c r="E200" s="961"/>
      <c r="F200" s="961"/>
      <c r="G200" s="961"/>
    </row>
    <row r="201" spans="2:7" ht="12.75">
      <c r="B201" s="256"/>
      <c r="C201" s="961"/>
      <c r="E201" s="961"/>
      <c r="F201" s="961"/>
      <c r="G201" s="961"/>
    </row>
    <row r="202" spans="2:7" ht="12.75">
      <c r="B202" s="256"/>
      <c r="C202" s="961"/>
      <c r="E202" s="961"/>
      <c r="F202" s="961"/>
      <c r="G202" s="961"/>
    </row>
    <row r="203" spans="2:7" ht="12.75">
      <c r="B203" s="256"/>
      <c r="C203" s="961"/>
      <c r="E203" s="961"/>
      <c r="F203" s="961"/>
      <c r="G203" s="961"/>
    </row>
    <row r="204" spans="2:7" ht="12.75">
      <c r="B204" s="256"/>
      <c r="C204" s="961"/>
      <c r="E204" s="961"/>
      <c r="F204" s="961"/>
      <c r="G204" s="961"/>
    </row>
    <row r="205" spans="2:7" ht="12.75">
      <c r="B205" s="256"/>
      <c r="C205" s="961"/>
      <c r="E205" s="961"/>
      <c r="F205" s="961"/>
      <c r="G205" s="961"/>
    </row>
    <row r="206" spans="2:7" ht="12.75">
      <c r="B206" s="256"/>
      <c r="C206" s="961"/>
      <c r="E206" s="961"/>
      <c r="F206" s="961"/>
      <c r="G206" s="961"/>
    </row>
    <row r="207" spans="2:7" ht="12.75">
      <c r="B207" s="256"/>
      <c r="C207" s="961"/>
      <c r="E207" s="961"/>
      <c r="F207" s="961"/>
      <c r="G207" s="961"/>
    </row>
    <row r="208" spans="2:7" ht="12.75">
      <c r="B208" s="256"/>
      <c r="C208" s="961"/>
      <c r="E208" s="961"/>
      <c r="F208" s="961"/>
      <c r="G208" s="961"/>
    </row>
    <row r="209" spans="2:7" ht="12.75">
      <c r="B209" s="256"/>
      <c r="C209" s="961"/>
      <c r="E209" s="961"/>
      <c r="F209" s="961"/>
      <c r="G209" s="961"/>
    </row>
    <row r="210" spans="2:7" ht="12.75">
      <c r="B210" s="256"/>
      <c r="C210" s="961"/>
      <c r="E210" s="961"/>
      <c r="F210" s="961"/>
      <c r="G210" s="961"/>
    </row>
    <row r="211" spans="2:7" ht="12.75">
      <c r="B211" s="256"/>
      <c r="C211" s="961"/>
      <c r="E211" s="961"/>
      <c r="F211" s="961"/>
      <c r="G211" s="961"/>
    </row>
    <row r="212" spans="2:7" ht="12.75">
      <c r="B212" s="256"/>
      <c r="C212" s="961"/>
      <c r="E212" s="961"/>
      <c r="F212" s="961"/>
      <c r="G212" s="961"/>
    </row>
    <row r="213" spans="2:7" ht="12.75">
      <c r="B213" s="256"/>
      <c r="C213" s="961"/>
      <c r="E213" s="961"/>
      <c r="F213" s="961"/>
      <c r="G213" s="961"/>
    </row>
    <row r="214" spans="2:7" ht="12.75">
      <c r="B214" s="256"/>
      <c r="C214" s="961"/>
      <c r="E214" s="961"/>
      <c r="F214" s="961"/>
      <c r="G214" s="961"/>
    </row>
    <row r="215" spans="2:7" ht="12.75">
      <c r="B215" s="256"/>
      <c r="C215" s="961"/>
      <c r="E215" s="961"/>
      <c r="F215" s="961"/>
      <c r="G215" s="961"/>
    </row>
    <row r="216" spans="2:7" ht="12.75">
      <c r="B216" s="256"/>
      <c r="C216" s="961"/>
      <c r="E216" s="961"/>
      <c r="F216" s="961"/>
      <c r="G216" s="961"/>
    </row>
    <row r="217" spans="2:7" ht="12.75">
      <c r="B217" s="256"/>
      <c r="C217" s="961"/>
      <c r="E217" s="961"/>
      <c r="F217" s="961"/>
      <c r="G217" s="961"/>
    </row>
    <row r="218" spans="2:7" ht="12.75">
      <c r="B218" s="256"/>
      <c r="C218" s="961"/>
      <c r="E218" s="961"/>
      <c r="F218" s="961"/>
      <c r="G218" s="961"/>
    </row>
    <row r="219" spans="2:7" ht="12.75">
      <c r="B219" s="256"/>
      <c r="C219" s="961"/>
      <c r="E219" s="961"/>
      <c r="F219" s="961"/>
      <c r="G219" s="961"/>
    </row>
    <row r="220" spans="2:7" ht="12.75">
      <c r="B220" s="256"/>
      <c r="C220" s="961"/>
      <c r="E220" s="961"/>
      <c r="F220" s="961"/>
      <c r="G220" s="961"/>
    </row>
    <row r="221" spans="2:7" ht="12.75">
      <c r="B221" s="256"/>
      <c r="C221" s="961"/>
      <c r="E221" s="961"/>
      <c r="F221" s="961"/>
      <c r="G221" s="961"/>
    </row>
    <row r="222" spans="2:7" ht="12.75">
      <c r="B222" s="256"/>
      <c r="C222" s="961"/>
      <c r="E222" s="961"/>
      <c r="F222" s="961"/>
      <c r="G222" s="961"/>
    </row>
    <row r="223" spans="2:7" ht="12.75">
      <c r="B223" s="256"/>
      <c r="C223" s="961"/>
      <c r="E223" s="961"/>
      <c r="F223" s="961"/>
      <c r="G223" s="961"/>
    </row>
    <row r="224" spans="2:7" ht="12.75">
      <c r="B224" s="256"/>
      <c r="C224" s="961"/>
      <c r="E224" s="961"/>
      <c r="F224" s="961"/>
      <c r="G224" s="961"/>
    </row>
    <row r="225" spans="2:7" ht="12.75">
      <c r="B225" s="256"/>
      <c r="C225" s="961"/>
      <c r="E225" s="961"/>
      <c r="F225" s="961"/>
      <c r="G225" s="961"/>
    </row>
    <row r="226" spans="2:7" ht="12.75">
      <c r="B226" s="256"/>
      <c r="C226" s="961"/>
      <c r="E226" s="961"/>
      <c r="F226" s="961"/>
      <c r="G226" s="961"/>
    </row>
    <row r="227" spans="2:7" ht="12.75">
      <c r="B227" s="256"/>
      <c r="C227" s="961"/>
      <c r="E227" s="961"/>
      <c r="F227" s="961"/>
      <c r="G227" s="961"/>
    </row>
    <row r="228" spans="2:7" ht="12.75">
      <c r="B228" s="256"/>
      <c r="C228" s="961"/>
      <c r="E228" s="961"/>
      <c r="F228" s="961"/>
      <c r="G228" s="961"/>
    </row>
    <row r="229" spans="2:7" ht="12.75">
      <c r="B229" s="256"/>
      <c r="C229" s="961"/>
      <c r="E229" s="961"/>
      <c r="F229" s="961"/>
      <c r="G229" s="961"/>
    </row>
    <row r="230" spans="2:7" ht="12.75">
      <c r="B230" s="256"/>
      <c r="C230" s="961"/>
      <c r="E230" s="961"/>
      <c r="F230" s="961"/>
      <c r="G230" s="961"/>
    </row>
    <row r="231" spans="2:7" ht="12.75">
      <c r="B231" s="256"/>
      <c r="C231" s="961"/>
      <c r="E231" s="961"/>
      <c r="F231" s="961"/>
      <c r="G231" s="961"/>
    </row>
    <row r="232" spans="2:7" ht="12.75">
      <c r="B232" s="256"/>
      <c r="C232" s="961"/>
      <c r="E232" s="961"/>
      <c r="F232" s="961"/>
      <c r="G232" s="961"/>
    </row>
    <row r="233" spans="2:7" ht="12.75">
      <c r="B233" s="256"/>
      <c r="C233" s="961"/>
      <c r="E233" s="961"/>
      <c r="F233" s="961"/>
      <c r="G233" s="961"/>
    </row>
    <row r="234" spans="2:7" ht="12.75">
      <c r="B234" s="256"/>
      <c r="C234" s="961"/>
      <c r="E234" s="961"/>
      <c r="F234" s="961"/>
      <c r="G234" s="961"/>
    </row>
    <row r="235" spans="2:7" ht="12.75">
      <c r="B235" s="256"/>
      <c r="C235" s="961"/>
      <c r="E235" s="961"/>
      <c r="F235" s="961"/>
      <c r="G235" s="961"/>
    </row>
    <row r="236" spans="2:7" ht="12.75">
      <c r="B236" s="256"/>
      <c r="C236" s="961"/>
      <c r="E236" s="961"/>
      <c r="F236" s="961"/>
      <c r="G236" s="961"/>
    </row>
    <row r="237" spans="2:7" ht="12.75">
      <c r="B237" s="256"/>
      <c r="C237" s="961"/>
      <c r="E237" s="961"/>
      <c r="F237" s="961"/>
      <c r="G237" s="961"/>
    </row>
    <row r="238" spans="2:7" ht="12.75">
      <c r="B238" s="256"/>
      <c r="C238" s="961"/>
      <c r="E238" s="961"/>
      <c r="F238" s="961"/>
      <c r="G238" s="961"/>
    </row>
    <row r="239" spans="2:7" ht="12.75">
      <c r="B239" s="256"/>
      <c r="C239" s="961"/>
      <c r="E239" s="961"/>
      <c r="F239" s="961"/>
      <c r="G239" s="961"/>
    </row>
    <row r="240" spans="2:7" ht="12.75">
      <c r="B240" s="256"/>
      <c r="C240" s="961"/>
      <c r="E240" s="961"/>
      <c r="F240" s="961"/>
      <c r="G240" s="961"/>
    </row>
    <row r="241" spans="2:7" ht="12.75">
      <c r="B241" s="256"/>
      <c r="C241" s="961"/>
      <c r="E241" s="961"/>
      <c r="F241" s="961"/>
      <c r="G241" s="961"/>
    </row>
    <row r="242" spans="2:7" ht="12.75">
      <c r="B242" s="256"/>
      <c r="C242" s="961"/>
      <c r="E242" s="961"/>
      <c r="F242" s="961"/>
      <c r="G242" s="961"/>
    </row>
    <row r="243" spans="2:7" ht="12.75">
      <c r="B243" s="256"/>
      <c r="C243" s="961"/>
      <c r="E243" s="961"/>
      <c r="F243" s="961"/>
      <c r="G243" s="961"/>
    </row>
    <row r="244" spans="2:7" ht="12.75">
      <c r="B244" s="256"/>
      <c r="C244" s="961"/>
      <c r="E244" s="961"/>
      <c r="F244" s="961"/>
      <c r="G244" s="961"/>
    </row>
    <row r="245" spans="2:7" ht="12.75">
      <c r="B245" s="256"/>
      <c r="C245" s="961"/>
      <c r="E245" s="961"/>
      <c r="F245" s="961"/>
      <c r="G245" s="961"/>
    </row>
    <row r="246" spans="2:7" ht="12.75">
      <c r="B246" s="256"/>
      <c r="C246" s="961"/>
      <c r="E246" s="961"/>
      <c r="F246" s="961"/>
      <c r="G246" s="961"/>
    </row>
    <row r="247" spans="2:7" ht="12.75">
      <c r="B247" s="256"/>
      <c r="C247" s="961"/>
      <c r="E247" s="961"/>
      <c r="F247" s="961"/>
      <c r="G247" s="961"/>
    </row>
    <row r="248" spans="2:7" ht="12.75">
      <c r="B248" s="256"/>
      <c r="C248" s="961"/>
      <c r="E248" s="961"/>
      <c r="F248" s="961"/>
      <c r="G248" s="961"/>
    </row>
    <row r="249" spans="2:7" ht="12.75">
      <c r="B249" s="256"/>
      <c r="C249" s="961"/>
      <c r="E249" s="961"/>
      <c r="F249" s="961"/>
      <c r="G249" s="961"/>
    </row>
    <row r="250" spans="2:7" ht="12.75">
      <c r="B250" s="256"/>
      <c r="C250" s="961"/>
      <c r="E250" s="961"/>
      <c r="F250" s="961"/>
      <c r="G250" s="961"/>
    </row>
    <row r="251" spans="2:7" ht="12.75">
      <c r="B251" s="256"/>
      <c r="C251" s="961"/>
      <c r="E251" s="961"/>
      <c r="F251" s="961"/>
      <c r="G251" s="961"/>
    </row>
    <row r="252" spans="2:7" ht="12.75">
      <c r="B252" s="256"/>
      <c r="C252" s="961"/>
      <c r="E252" s="961"/>
      <c r="F252" s="961"/>
      <c r="G252" s="961"/>
    </row>
    <row r="253" spans="2:7" ht="12.75">
      <c r="B253" s="256"/>
      <c r="C253" s="961"/>
      <c r="E253" s="961"/>
      <c r="F253" s="961"/>
      <c r="G253" s="961"/>
    </row>
    <row r="254" spans="2:7" ht="12.75">
      <c r="B254" s="256"/>
      <c r="C254" s="961"/>
      <c r="E254" s="961"/>
      <c r="F254" s="961"/>
      <c r="G254" s="961"/>
    </row>
    <row r="255" spans="2:7" ht="12.75">
      <c r="B255" s="256"/>
      <c r="C255" s="961"/>
      <c r="E255" s="961"/>
      <c r="F255" s="961"/>
      <c r="G255" s="961"/>
    </row>
    <row r="256" spans="2:7" ht="12.75">
      <c r="B256" s="256"/>
      <c r="C256" s="961"/>
      <c r="E256" s="961"/>
      <c r="F256" s="961"/>
      <c r="G256" s="961"/>
    </row>
    <row r="257" spans="2:7" ht="12.75">
      <c r="B257" s="256"/>
      <c r="C257" s="961"/>
      <c r="E257" s="961"/>
      <c r="F257" s="961"/>
      <c r="G257" s="961"/>
    </row>
    <row r="258" spans="2:7" ht="12.75">
      <c r="B258" s="256"/>
      <c r="C258" s="961"/>
      <c r="E258" s="961"/>
      <c r="F258" s="961"/>
      <c r="G258" s="961"/>
    </row>
    <row r="259" spans="2:7" ht="12.75">
      <c r="B259" s="256"/>
      <c r="C259" s="961"/>
      <c r="E259" s="961"/>
      <c r="F259" s="961"/>
      <c r="G259" s="961"/>
    </row>
    <row r="260" spans="2:7" ht="12.75">
      <c r="B260" s="256"/>
      <c r="C260" s="961"/>
      <c r="E260" s="961"/>
      <c r="F260" s="961"/>
      <c r="G260" s="961"/>
    </row>
    <row r="261" spans="2:7" ht="12.75">
      <c r="B261" s="256"/>
      <c r="C261" s="961"/>
      <c r="E261" s="961"/>
      <c r="F261" s="961"/>
      <c r="G261" s="961"/>
    </row>
    <row r="262" spans="2:7" ht="12.75">
      <c r="B262" s="256"/>
      <c r="C262" s="961"/>
      <c r="E262" s="961"/>
      <c r="F262" s="961"/>
      <c r="G262" s="961"/>
    </row>
  </sheetData>
  <sheetProtection/>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I135"/>
  <sheetViews>
    <sheetView zoomScalePageLayoutView="0" workbookViewId="0" topLeftCell="A85">
      <selection activeCell="D14" sqref="D14"/>
    </sheetView>
  </sheetViews>
  <sheetFormatPr defaultColWidth="9.140625" defaultRowHeight="12.75"/>
  <cols>
    <col min="1" max="1" width="63.140625" style="0" customWidth="1"/>
    <col min="2" max="2" width="11.140625" style="0" customWidth="1"/>
    <col min="3" max="3" width="14.00390625" style="0" customWidth="1"/>
    <col min="4" max="4" width="14.421875" style="0" customWidth="1"/>
    <col min="5" max="5" width="13.28125" style="229" customWidth="1"/>
    <col min="6" max="6" width="11.140625" style="0" customWidth="1"/>
    <col min="7" max="7" width="11.00390625" style="0" customWidth="1"/>
  </cols>
  <sheetData>
    <row r="1" ht="12.75">
      <c r="A1" s="147" t="s">
        <v>617</v>
      </c>
    </row>
    <row r="2" ht="12.75">
      <c r="C2" t="s">
        <v>618</v>
      </c>
    </row>
    <row r="3" spans="1:4" ht="12.75">
      <c r="A3" t="s">
        <v>619</v>
      </c>
      <c r="B3" s="229">
        <v>2300</v>
      </c>
      <c r="C3">
        <f>Number_of_Schools+Number_of_VS_Schools-C7</f>
        <v>838</v>
      </c>
      <c r="D3" s="236">
        <f>C3/(C3+C7)</f>
        <v>0.6491092176607282</v>
      </c>
    </row>
    <row r="4" spans="1:3" ht="12.75">
      <c r="A4" t="s">
        <v>620</v>
      </c>
      <c r="B4" s="229">
        <v>1100</v>
      </c>
      <c r="C4">
        <v>1000</v>
      </c>
    </row>
    <row r="5" spans="2:5" ht="12.75">
      <c r="B5" s="237">
        <f>B3+B4</f>
        <v>3400</v>
      </c>
      <c r="E5" s="229">
        <f>B5*D3</f>
        <v>2206.9713400464757</v>
      </c>
    </row>
    <row r="6" ht="12.75">
      <c r="B6" s="229"/>
    </row>
    <row r="7" spans="1:5" ht="12.75">
      <c r="A7" t="s">
        <v>621</v>
      </c>
      <c r="B7" s="237">
        <v>300</v>
      </c>
      <c r="C7">
        <v>453</v>
      </c>
      <c r="D7" s="236">
        <f>C7/(C4+C7)</f>
        <v>0.3117687543014453</v>
      </c>
      <c r="E7" s="229">
        <f>B7*D7</f>
        <v>93.53062629043359</v>
      </c>
    </row>
    <row r="8" spans="1:2" ht="12.75">
      <c r="A8" s="147" t="s">
        <v>622</v>
      </c>
      <c r="B8" s="229"/>
    </row>
    <row r="9" spans="1:5" ht="12.75">
      <c r="A9" t="s">
        <v>623</v>
      </c>
      <c r="B9" s="315">
        <v>607</v>
      </c>
      <c r="E9" s="237">
        <f>E7+E5</f>
        <v>2300.5019663369094</v>
      </c>
    </row>
    <row r="10" spans="1:7" ht="12.75">
      <c r="A10" t="s">
        <v>624</v>
      </c>
      <c r="B10" s="315">
        <v>376</v>
      </c>
      <c r="E10" s="229" t="s">
        <v>625</v>
      </c>
      <c r="F10" t="s">
        <v>626</v>
      </c>
      <c r="G10" t="s">
        <v>627</v>
      </c>
    </row>
    <row r="11" spans="1:7" ht="12.75">
      <c r="A11" t="s">
        <v>628</v>
      </c>
      <c r="B11">
        <f>453</f>
        <v>453</v>
      </c>
      <c r="D11" s="238">
        <f>B9+B10</f>
        <v>983</v>
      </c>
      <c r="E11" s="397">
        <f>D11*0.22</f>
        <v>216.26</v>
      </c>
      <c r="F11" s="398">
        <f>D11*0.15</f>
        <v>147.45</v>
      </c>
      <c r="G11" s="398">
        <f>D11*0.63</f>
        <v>619.29</v>
      </c>
    </row>
    <row r="12" spans="1:7" ht="12.75">
      <c r="A12" t="s">
        <v>629</v>
      </c>
      <c r="B12" s="238">
        <f>5+11+1+4+6+12+10+6</f>
        <v>55</v>
      </c>
      <c r="E12" s="229">
        <f>E11*673</f>
        <v>145542.97999999998</v>
      </c>
      <c r="F12">
        <f>F11*450</f>
        <v>66352.5</v>
      </c>
      <c r="G12">
        <f>G11*232</f>
        <v>143675.28</v>
      </c>
    </row>
    <row r="13" ht="12.75"/>
    <row r="14" spans="1:4" ht="15.75">
      <c r="A14" s="231" t="s">
        <v>630</v>
      </c>
      <c r="B14" s="81"/>
      <c r="C14" s="185">
        <f>Number_of_Teachers</f>
        <v>44088</v>
      </c>
      <c r="D14" s="135" t="e">
        <f>#REF!</f>
        <v>#REF!</v>
      </c>
    </row>
    <row r="15" spans="1:3" ht="15" hidden="1">
      <c r="A15" s="233" t="s">
        <v>134</v>
      </c>
      <c r="B15" s="54"/>
      <c r="C15" s="185" t="e">
        <f>D16</f>
        <v>#REF!</v>
      </c>
    </row>
    <row r="16" spans="1:4" ht="15.75">
      <c r="A16" s="231" t="s">
        <v>21</v>
      </c>
      <c r="B16" s="54"/>
      <c r="C16" s="185">
        <f>Number_of_Classrooms</f>
        <v>42939</v>
      </c>
      <c r="D16" t="e">
        <f>#REF!</f>
        <v>#REF!</v>
      </c>
    </row>
    <row r="17" spans="1:3" ht="15.75">
      <c r="A17" s="231" t="s">
        <v>631</v>
      </c>
      <c r="B17" s="54"/>
      <c r="C17" s="185">
        <f>'Complete Budget Sheet'!E11</f>
        <v>1650</v>
      </c>
    </row>
    <row r="18" spans="1:3" ht="15" hidden="1">
      <c r="A18" s="231" t="s">
        <v>632</v>
      </c>
      <c r="B18" s="81"/>
      <c r="C18" s="185">
        <f>'Reference Data'!$B$3</f>
        <v>1247</v>
      </c>
    </row>
    <row r="19" spans="1:3" ht="15.75">
      <c r="A19" s="231" t="s">
        <v>633</v>
      </c>
      <c r="B19" s="54"/>
      <c r="C19" s="185">
        <f>'Reference Data'!$B$3+(2*(0.22*'Reference Data'!$B$3))</f>
        <v>1795.6799999999998</v>
      </c>
    </row>
    <row r="20" spans="1:3" ht="15.75">
      <c r="A20" s="69" t="s">
        <v>634</v>
      </c>
      <c r="B20" s="70"/>
      <c r="C20" s="91"/>
    </row>
    <row r="21" spans="1:3" ht="20.25">
      <c r="A21" s="100" t="s">
        <v>26</v>
      </c>
      <c r="B21" s="54"/>
      <c r="C21" s="85"/>
    </row>
    <row r="22" spans="1:3" ht="15.75">
      <c r="A22" s="84" t="s">
        <v>153</v>
      </c>
      <c r="B22" s="49"/>
      <c r="C22" s="88"/>
    </row>
    <row r="23" spans="1:3" ht="15.75">
      <c r="A23" s="231" t="s">
        <v>27</v>
      </c>
      <c r="B23" s="54"/>
      <c r="C23" s="85">
        <f>'Reference Data'!$E$72</f>
        <v>6373</v>
      </c>
    </row>
    <row r="24" spans="1:3" ht="15" hidden="1">
      <c r="A24" s="232" t="s">
        <v>635</v>
      </c>
      <c r="B24" s="54"/>
      <c r="C24" s="85">
        <f>'Reference Data'!$E$72</f>
        <v>6373</v>
      </c>
    </row>
    <row r="25" spans="1:3" ht="15.75">
      <c r="A25" s="80" t="s">
        <v>239</v>
      </c>
      <c r="B25" s="54"/>
      <c r="C25" s="85">
        <v>0</v>
      </c>
    </row>
    <row r="26" spans="1:3" ht="15.75">
      <c r="A26" s="231" t="s">
        <v>28</v>
      </c>
      <c r="B26" s="54"/>
      <c r="C26" s="85">
        <f>Number_of_Schools</f>
        <v>1247</v>
      </c>
    </row>
    <row r="27" spans="1:3" ht="15.75">
      <c r="A27" s="231" t="s">
        <v>29</v>
      </c>
      <c r="B27" s="54"/>
      <c r="C27" s="85">
        <f>Number_of_Schools</f>
        <v>1247</v>
      </c>
    </row>
    <row r="28" spans="1:3" ht="15.75">
      <c r="A28" s="56" t="s">
        <v>30</v>
      </c>
      <c r="B28" s="59"/>
      <c r="C28" s="92"/>
    </row>
    <row r="30" ht="12.75">
      <c r="C30" s="238" t="e">
        <f>SUM(C14:C27)</f>
        <v>#REF!</v>
      </c>
    </row>
    <row r="32" spans="1:5" ht="18">
      <c r="A32" s="250" t="s">
        <v>636</v>
      </c>
      <c r="E32"/>
    </row>
    <row r="33" ht="12.75">
      <c r="E33"/>
    </row>
    <row r="34" ht="12.75">
      <c r="E34"/>
    </row>
    <row r="35" spans="2:5" ht="15">
      <c r="B35" s="251" t="s">
        <v>150</v>
      </c>
      <c r="E35"/>
    </row>
    <row r="36" spans="1:9" ht="13.5">
      <c r="A36" s="252" t="s">
        <v>25</v>
      </c>
      <c r="B36" s="252" t="s">
        <v>637</v>
      </c>
      <c r="C36" s="252" t="s">
        <v>549</v>
      </c>
      <c r="D36" s="252" t="s">
        <v>520</v>
      </c>
      <c r="E36" s="252" t="s">
        <v>151</v>
      </c>
      <c r="F36" s="252" t="s">
        <v>140</v>
      </c>
      <c r="H36" s="252"/>
      <c r="I36" s="252"/>
    </row>
    <row r="37" ht="12.75">
      <c r="E37"/>
    </row>
    <row r="38" spans="1:6" ht="13.5">
      <c r="A38" t="s">
        <v>638</v>
      </c>
      <c r="B38" s="253" t="s">
        <v>639</v>
      </c>
      <c r="C38" s="103"/>
      <c r="D38" s="103">
        <v>875000</v>
      </c>
      <c r="E38" s="103">
        <f>SUM(C38+D38)</f>
        <v>875000</v>
      </c>
      <c r="F38" s="228">
        <f>E38*0.35</f>
        <v>306250</v>
      </c>
    </row>
    <row r="39" spans="2:6" ht="13.5">
      <c r="B39" s="253" t="s">
        <v>640</v>
      </c>
      <c r="C39" s="103"/>
      <c r="D39" s="103">
        <f>118000*12</f>
        <v>1416000</v>
      </c>
      <c r="E39" s="103">
        <f>SUM(C39+D39)</f>
        <v>1416000</v>
      </c>
      <c r="F39" s="228">
        <f>E39*0.35</f>
        <v>495599.99999999994</v>
      </c>
    </row>
    <row r="40" spans="3:5" ht="12.75">
      <c r="C40" s="103"/>
      <c r="D40" s="103"/>
      <c r="E40" s="103"/>
    </row>
    <row r="41" spans="3:6" ht="13.5">
      <c r="C41" s="103"/>
      <c r="D41" s="103"/>
      <c r="E41" s="254">
        <f>E38+E39</f>
        <v>2291000</v>
      </c>
      <c r="F41" s="255">
        <f>E41*0.35</f>
        <v>801850</v>
      </c>
    </row>
    <row r="42" spans="3:6" ht="13.5">
      <c r="C42" s="103"/>
      <c r="D42" s="103"/>
      <c r="E42" s="254"/>
      <c r="F42" s="255"/>
    </row>
    <row r="43" spans="3:6" ht="13.5">
      <c r="C43" s="103"/>
      <c r="D43" s="103"/>
      <c r="E43" s="254"/>
      <c r="F43" s="255"/>
    </row>
    <row r="44" spans="1:5" ht="12.75">
      <c r="A44" s="147" t="s">
        <v>641</v>
      </c>
      <c r="C44" t="s">
        <v>642</v>
      </c>
      <c r="D44" t="s">
        <v>643</v>
      </c>
      <c r="E44" s="229" t="s">
        <v>138</v>
      </c>
    </row>
    <row r="45" spans="1:5" ht="12.75">
      <c r="A45" s="256" t="s">
        <v>644</v>
      </c>
      <c r="B45">
        <v>16</v>
      </c>
      <c r="C45" s="103">
        <v>95</v>
      </c>
      <c r="D45" s="103">
        <f aca="true" t="shared" si="0" ref="D45:D52">C45*B45</f>
        <v>1520</v>
      </c>
      <c r="E45" s="229">
        <f aca="true" t="shared" si="1" ref="E45:E52">D45*12</f>
        <v>18240</v>
      </c>
    </row>
    <row r="46" spans="1:5" ht="12.75">
      <c r="A46" s="256" t="s">
        <v>645</v>
      </c>
      <c r="B46">
        <v>84</v>
      </c>
      <c r="C46" s="103">
        <v>170</v>
      </c>
      <c r="D46" s="103">
        <f t="shared" si="0"/>
        <v>14280</v>
      </c>
      <c r="E46" s="229">
        <f t="shared" si="1"/>
        <v>171360</v>
      </c>
    </row>
    <row r="47" spans="1:5" ht="12.75">
      <c r="A47" s="256" t="s">
        <v>646</v>
      </c>
      <c r="B47">
        <v>33</v>
      </c>
      <c r="C47" s="103">
        <v>235</v>
      </c>
      <c r="D47" s="103">
        <f t="shared" si="0"/>
        <v>7755</v>
      </c>
      <c r="E47" s="229">
        <f t="shared" si="1"/>
        <v>93060</v>
      </c>
    </row>
    <row r="48" spans="1:5" ht="12.75">
      <c r="A48" s="256" t="s">
        <v>497</v>
      </c>
      <c r="B48">
        <v>54</v>
      </c>
      <c r="C48" s="103">
        <v>250</v>
      </c>
      <c r="D48" s="103">
        <f t="shared" si="0"/>
        <v>13500</v>
      </c>
      <c r="E48" s="229">
        <f t="shared" si="1"/>
        <v>162000</v>
      </c>
    </row>
    <row r="49" spans="1:5" ht="12.75">
      <c r="A49" s="256" t="s">
        <v>647</v>
      </c>
      <c r="B49">
        <v>1</v>
      </c>
      <c r="C49" s="103">
        <v>1500</v>
      </c>
      <c r="D49" s="103">
        <f t="shared" si="0"/>
        <v>1500</v>
      </c>
      <c r="E49" s="229">
        <f t="shared" si="1"/>
        <v>18000</v>
      </c>
    </row>
    <row r="50" spans="1:5" ht="12.75">
      <c r="A50" s="256" t="s">
        <v>648</v>
      </c>
      <c r="B50">
        <v>3</v>
      </c>
      <c r="C50" s="103">
        <v>410</v>
      </c>
      <c r="D50" s="103">
        <f t="shared" si="0"/>
        <v>1230</v>
      </c>
      <c r="E50" s="229">
        <f t="shared" si="1"/>
        <v>14760</v>
      </c>
    </row>
    <row r="51" spans="1:5" ht="12.75">
      <c r="A51" s="256" t="s">
        <v>649</v>
      </c>
      <c r="B51">
        <v>1</v>
      </c>
      <c r="C51" s="103">
        <v>260</v>
      </c>
      <c r="D51" s="103">
        <f t="shared" si="0"/>
        <v>260</v>
      </c>
      <c r="E51" s="229">
        <f t="shared" si="1"/>
        <v>3120</v>
      </c>
    </row>
    <row r="52" spans="1:5" ht="12.75">
      <c r="A52" s="256" t="s">
        <v>650</v>
      </c>
      <c r="B52">
        <v>7</v>
      </c>
      <c r="C52" s="103">
        <v>450</v>
      </c>
      <c r="D52" s="103">
        <f t="shared" si="0"/>
        <v>3150</v>
      </c>
      <c r="E52" s="229">
        <f t="shared" si="1"/>
        <v>37800</v>
      </c>
    </row>
    <row r="53" ht="12.75">
      <c r="B53">
        <f>SUM(B45:B52)</f>
        <v>199</v>
      </c>
    </row>
    <row r="54" spans="4:5" ht="12.75">
      <c r="D54" s="103">
        <f>SUM(D45:D53)</f>
        <v>43195</v>
      </c>
      <c r="E54" s="103">
        <f>SUM(E45:E53)</f>
        <v>518340</v>
      </c>
    </row>
    <row r="56" ht="12.75">
      <c r="A56" s="147" t="s">
        <v>651</v>
      </c>
    </row>
    <row r="57" spans="1:5" ht="12.75">
      <c r="A57" s="256" t="s">
        <v>652</v>
      </c>
      <c r="B57">
        <v>181</v>
      </c>
      <c r="C57" s="103">
        <v>95</v>
      </c>
      <c r="D57" s="103">
        <f>C57*B57</f>
        <v>17195</v>
      </c>
      <c r="E57" s="229">
        <f>D57*12</f>
        <v>206340</v>
      </c>
    </row>
    <row r="58" spans="1:5" ht="12.75">
      <c r="A58" s="256" t="s">
        <v>653</v>
      </c>
      <c r="B58">
        <v>6</v>
      </c>
      <c r="C58" s="103">
        <v>240</v>
      </c>
      <c r="D58" s="103">
        <f>C58*B58</f>
        <v>1440</v>
      </c>
      <c r="E58" s="229">
        <f>D58*12</f>
        <v>17280</v>
      </c>
    </row>
    <row r="59" spans="1:5" ht="12.75">
      <c r="A59" s="256" t="s">
        <v>654</v>
      </c>
      <c r="B59">
        <v>1</v>
      </c>
      <c r="C59" s="103">
        <v>950</v>
      </c>
      <c r="D59" s="103">
        <f>C59*B59</f>
        <v>950</v>
      </c>
      <c r="E59" s="229">
        <f>D59*12</f>
        <v>11400</v>
      </c>
    </row>
    <row r="60" spans="1:5" ht="12.75">
      <c r="A60" s="256" t="s">
        <v>655</v>
      </c>
      <c r="B60">
        <v>1</v>
      </c>
      <c r="C60" s="103">
        <v>2300</v>
      </c>
      <c r="D60" s="103">
        <f>C60*B60</f>
        <v>2300</v>
      </c>
      <c r="E60" s="229">
        <f>D60*12</f>
        <v>27600</v>
      </c>
    </row>
    <row r="61" spans="3:5" ht="12.75">
      <c r="C61" s="103"/>
      <c r="D61" s="103"/>
      <c r="E61" s="257"/>
    </row>
    <row r="62" spans="3:5" ht="12.75">
      <c r="C62" s="103"/>
      <c r="D62" s="103">
        <f>SUM(D57:D61)</f>
        <v>21885</v>
      </c>
      <c r="E62" s="103">
        <f>SUM(E57:E61)</f>
        <v>262620</v>
      </c>
    </row>
    <row r="63" spans="3:5" ht="12.75">
      <c r="C63" s="103"/>
      <c r="D63" s="103"/>
      <c r="E63" s="257"/>
    </row>
    <row r="64" spans="3:5" ht="12.75">
      <c r="C64" s="103"/>
      <c r="D64" s="103"/>
      <c r="E64" s="258">
        <f>E54+E62</f>
        <v>780960</v>
      </c>
    </row>
    <row r="65" spans="3:5" ht="12.75">
      <c r="C65" s="103"/>
      <c r="D65" s="103"/>
      <c r="E65" s="257"/>
    </row>
    <row r="66" spans="1:5" ht="12.75">
      <c r="A66" s="147" t="s">
        <v>656</v>
      </c>
      <c r="C66" s="103"/>
      <c r="D66" s="103"/>
      <c r="E66" s="257"/>
    </row>
    <row r="67" spans="3:5" ht="12.75">
      <c r="C67" s="103"/>
      <c r="D67" s="103"/>
      <c r="E67" s="257"/>
    </row>
    <row r="68" spans="1:5" ht="12.75">
      <c r="A68" s="256" t="s">
        <v>657</v>
      </c>
      <c r="B68">
        <f>12+4</f>
        <v>16</v>
      </c>
      <c r="C68" s="103">
        <v>168</v>
      </c>
      <c r="D68" s="103">
        <f>C68*B68</f>
        <v>2688</v>
      </c>
      <c r="E68" s="229">
        <f>D68*12</f>
        <v>32256</v>
      </c>
    </row>
    <row r="69" spans="1:5" ht="12.75">
      <c r="A69" s="256" t="s">
        <v>658</v>
      </c>
      <c r="B69">
        <v>84</v>
      </c>
      <c r="C69" s="103">
        <v>450</v>
      </c>
      <c r="D69" s="103">
        <f>C69*B69</f>
        <v>37800</v>
      </c>
      <c r="E69" s="229">
        <f>D69*12</f>
        <v>453600</v>
      </c>
    </row>
    <row r="70" spans="1:5" ht="12.75">
      <c r="A70" s="256" t="s">
        <v>659</v>
      </c>
      <c r="B70">
        <f>32+1</f>
        <v>33</v>
      </c>
      <c r="C70" s="103">
        <v>665</v>
      </c>
      <c r="D70" s="103">
        <f>C70*B70</f>
        <v>21945</v>
      </c>
      <c r="E70" s="229">
        <f>D70*12</f>
        <v>263340</v>
      </c>
    </row>
    <row r="71" spans="1:5" ht="12.75">
      <c r="A71" s="256" t="s">
        <v>660</v>
      </c>
      <c r="B71">
        <f>53+1</f>
        <v>54</v>
      </c>
      <c r="C71" s="103">
        <v>673</v>
      </c>
      <c r="D71" s="103">
        <f>C71*B71</f>
        <v>36342</v>
      </c>
      <c r="E71" s="229">
        <f>D71*12</f>
        <v>436104</v>
      </c>
    </row>
    <row r="72" spans="1:5" ht="12.75">
      <c r="A72" s="256" t="s">
        <v>661</v>
      </c>
      <c r="B72">
        <f>3+2</f>
        <v>5</v>
      </c>
      <c r="C72" s="103">
        <v>673</v>
      </c>
      <c r="D72" s="103">
        <f>C72*B72</f>
        <v>3365</v>
      </c>
      <c r="E72" s="229">
        <f>D72*12</f>
        <v>40380</v>
      </c>
    </row>
    <row r="73" spans="1:5" ht="12.75">
      <c r="A73" s="256"/>
      <c r="B73">
        <f>SUM(B68:B72)</f>
        <v>192</v>
      </c>
      <c r="C73" s="103"/>
      <c r="D73" s="103"/>
      <c r="E73" s="257"/>
    </row>
    <row r="74" spans="1:5" ht="12.75">
      <c r="A74" s="256"/>
      <c r="C74" s="103"/>
      <c r="D74" s="248">
        <f>SUM(D68:D73)</f>
        <v>102140</v>
      </c>
      <c r="E74" s="248">
        <f>SUM(E68:E73)</f>
        <v>1225680</v>
      </c>
    </row>
    <row r="75" spans="3:5" ht="12.75">
      <c r="C75" s="103"/>
      <c r="D75" s="103"/>
      <c r="E75" s="257"/>
    </row>
    <row r="76" spans="3:5" ht="12.75">
      <c r="C76" s="103" t="s">
        <v>662</v>
      </c>
      <c r="D76" s="103"/>
      <c r="E76" s="258">
        <f>E64+E74+E54</f>
        <v>2524980</v>
      </c>
    </row>
    <row r="77" spans="3:6" ht="12.75">
      <c r="C77" s="103"/>
      <c r="D77" s="103"/>
      <c r="E77" s="257">
        <f>E76*D78</f>
        <v>2613354.3</v>
      </c>
      <c r="F77" s="103">
        <f>E77-E76</f>
        <v>88374.29999999981</v>
      </c>
    </row>
    <row r="78" spans="4:5" ht="12.75">
      <c r="D78">
        <v>1.035</v>
      </c>
      <c r="E78" s="239">
        <f>E77+F77</f>
        <v>2701728.5999999996</v>
      </c>
    </row>
    <row r="79" ht="12.75">
      <c r="E79" s="239">
        <f>E78+F77</f>
        <v>2790102.8999999994</v>
      </c>
    </row>
    <row r="80" ht="12.75">
      <c r="E80" s="239">
        <f>E79+F77</f>
        <v>2878477.1999999993</v>
      </c>
    </row>
    <row r="81" ht="12.75">
      <c r="E81" s="239">
        <f>E80+F77</f>
        <v>2966851.499999999</v>
      </c>
    </row>
    <row r="82" ht="12.75">
      <c r="E82" s="239" t="s">
        <v>25</v>
      </c>
    </row>
    <row r="83" ht="12.75">
      <c r="E83" s="259">
        <f>AVERAGE(E76:E81)</f>
        <v>2745915.7499999995</v>
      </c>
    </row>
    <row r="84" ht="12.75">
      <c r="E84" s="239"/>
    </row>
    <row r="85" ht="12.75">
      <c r="E85" s="239"/>
    </row>
    <row r="86" ht="12.75">
      <c r="E86" s="239"/>
    </row>
    <row r="88" ht="12.75">
      <c r="E88"/>
    </row>
    <row r="89" ht="12.75">
      <c r="E89"/>
    </row>
    <row r="90" ht="12.75">
      <c r="E90"/>
    </row>
    <row r="91" ht="12.75">
      <c r="E91"/>
    </row>
    <row r="92" ht="12.75">
      <c r="E92"/>
    </row>
    <row r="128" ht="12.75">
      <c r="E128"/>
    </row>
    <row r="129" ht="12.75">
      <c r="E129"/>
    </row>
    <row r="130" ht="12.75">
      <c r="E130"/>
    </row>
    <row r="131" ht="12.75">
      <c r="E131"/>
    </row>
    <row r="132" ht="12.75">
      <c r="E132"/>
    </row>
    <row r="133" ht="12.75">
      <c r="E133"/>
    </row>
    <row r="134" ht="12.75">
      <c r="E134"/>
    </row>
    <row r="135" ht="12.75">
      <c r="E135"/>
    </row>
  </sheetData>
  <sheetProtection/>
  <printOptions/>
  <pageMargins left="0.75" right="0.75" top="0.67" bottom="0.34" header="0.32" footer="0.17"/>
  <pageSetup horizontalDpi="600" verticalDpi="600" orientation="landscape" scale="75" r:id="rId3"/>
  <headerFooter alignWithMargins="0">
    <oddHeader>&amp;CMaster Plan for Technology 2001-2006
Network Data</oddHeader>
  </headerFooter>
  <rowBreaks count="1" manualBreakCount="1">
    <brk id="30" max="65535" man="1"/>
  </row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G53"/>
  <sheetViews>
    <sheetView zoomScalePageLayoutView="0" workbookViewId="0" topLeftCell="A1">
      <selection activeCell="B54" sqref="B54"/>
    </sheetView>
  </sheetViews>
  <sheetFormatPr defaultColWidth="9.140625" defaultRowHeight="12.75"/>
  <cols>
    <col min="1" max="1" width="52.28125" style="155" customWidth="1"/>
    <col min="2" max="2" width="19.28125" style="155" customWidth="1"/>
    <col min="3" max="3" width="19.57421875" style="155" customWidth="1"/>
    <col min="4" max="4" width="6.8515625" style="155" customWidth="1"/>
    <col min="5" max="5" width="19.57421875" style="155" customWidth="1"/>
    <col min="6" max="16384" width="9.140625" style="155" customWidth="1"/>
  </cols>
  <sheetData>
    <row r="1" ht="13.5" thickBot="1"/>
    <row r="2" spans="1:7" ht="13.5" thickTop="1">
      <c r="A2" s="156" t="s">
        <v>663</v>
      </c>
      <c r="B2" s="157" t="s">
        <v>664</v>
      </c>
      <c r="C2" s="157" t="s">
        <v>665</v>
      </c>
      <c r="D2" s="157"/>
      <c r="E2" s="157"/>
      <c r="F2" s="157"/>
      <c r="G2" s="158"/>
    </row>
    <row r="3" spans="1:7" ht="12.75">
      <c r="A3" s="159" t="s">
        <v>666</v>
      </c>
      <c r="B3" s="160"/>
      <c r="C3" s="160"/>
      <c r="D3" s="161"/>
      <c r="E3" s="161"/>
      <c r="F3" s="161"/>
      <c r="G3" s="162"/>
    </row>
    <row r="4" spans="1:7" ht="12.75">
      <c r="A4" s="163" t="s">
        <v>667</v>
      </c>
      <c r="B4" s="160"/>
      <c r="C4" s="160">
        <v>34.7</v>
      </c>
      <c r="D4" s="161"/>
      <c r="E4" s="164" t="s">
        <v>668</v>
      </c>
      <c r="F4" s="165" t="s">
        <v>669</v>
      </c>
      <c r="G4" s="166" t="s">
        <v>670</v>
      </c>
    </row>
    <row r="5" spans="1:7" ht="12.75">
      <c r="A5" s="163" t="s">
        <v>671</v>
      </c>
      <c r="B5" s="160"/>
      <c r="C5" s="160">
        <v>56.8</v>
      </c>
      <c r="D5" s="161"/>
      <c r="E5" s="164" t="s">
        <v>672</v>
      </c>
      <c r="F5" s="160">
        <f>(B14+B22)*1</f>
        <v>58</v>
      </c>
      <c r="G5" s="167">
        <f>(C14+C22)</f>
        <v>435.5</v>
      </c>
    </row>
    <row r="6" spans="1:7" ht="12.75">
      <c r="A6" s="163" t="s">
        <v>673</v>
      </c>
      <c r="B6" s="160"/>
      <c r="C6" s="160">
        <v>38.9</v>
      </c>
      <c r="D6" s="161"/>
      <c r="E6" s="164" t="s">
        <v>674</v>
      </c>
      <c r="F6" s="160">
        <f>(B14+B22)*2</f>
        <v>116</v>
      </c>
      <c r="G6" s="167">
        <v>0</v>
      </c>
    </row>
    <row r="7" spans="1:7" ht="12.75">
      <c r="A7" s="163" t="s">
        <v>675</v>
      </c>
      <c r="B7" s="160"/>
      <c r="C7" s="160">
        <v>21.5</v>
      </c>
      <c r="D7" s="161"/>
      <c r="E7" s="164" t="s">
        <v>676</v>
      </c>
      <c r="F7" s="160">
        <f>(B14+B22)*3</f>
        <v>174</v>
      </c>
      <c r="G7" s="167">
        <v>0</v>
      </c>
    </row>
    <row r="8" spans="1:7" ht="12.75">
      <c r="A8" s="163" t="s">
        <v>677</v>
      </c>
      <c r="B8" s="160"/>
      <c r="C8" s="160">
        <v>38</v>
      </c>
      <c r="D8" s="161"/>
      <c r="E8" s="164" t="s">
        <v>678</v>
      </c>
      <c r="F8" s="160">
        <f>F7</f>
        <v>174</v>
      </c>
      <c r="G8" s="167">
        <f>(G5+G6+G7)</f>
        <v>435.5</v>
      </c>
    </row>
    <row r="9" spans="1:7" ht="12.75">
      <c r="A9" s="163" t="s">
        <v>679</v>
      </c>
      <c r="B9" s="160"/>
      <c r="C9" s="160">
        <v>29.3</v>
      </c>
      <c r="D9" s="161"/>
      <c r="E9" s="161"/>
      <c r="F9" s="161"/>
      <c r="G9" s="162"/>
    </row>
    <row r="10" spans="1:7" ht="12.75">
      <c r="A10" s="163" t="s">
        <v>750</v>
      </c>
      <c r="B10" s="160"/>
      <c r="C10" s="160">
        <v>22.3</v>
      </c>
      <c r="D10" s="161"/>
      <c r="E10" s="161"/>
      <c r="F10" s="161"/>
      <c r="G10" s="162"/>
    </row>
    <row r="11" spans="1:7" ht="12.75">
      <c r="A11" s="163" t="s">
        <v>751</v>
      </c>
      <c r="B11" s="160"/>
      <c r="C11" s="160">
        <v>9.3</v>
      </c>
      <c r="D11" s="161"/>
      <c r="E11" s="164" t="s">
        <v>752</v>
      </c>
      <c r="F11" s="168">
        <f>(G8/F5)</f>
        <v>7.508620689655173</v>
      </c>
      <c r="G11" s="162"/>
    </row>
    <row r="12" spans="1:7" ht="12.75">
      <c r="A12" s="163" t="s">
        <v>753</v>
      </c>
      <c r="B12" s="160"/>
      <c r="C12" s="160">
        <v>55.6</v>
      </c>
      <c r="D12" s="161"/>
      <c r="E12" s="161"/>
      <c r="F12" s="161"/>
      <c r="G12" s="162"/>
    </row>
    <row r="13" spans="1:7" ht="12.75">
      <c r="A13" s="163" t="s">
        <v>754</v>
      </c>
      <c r="B13" s="160"/>
      <c r="C13" s="160">
        <v>18</v>
      </c>
      <c r="D13" s="161"/>
      <c r="E13" s="161"/>
      <c r="F13" s="161"/>
      <c r="G13" s="162"/>
    </row>
    <row r="14" spans="1:7" ht="12.75">
      <c r="A14" s="169" t="s">
        <v>755</v>
      </c>
      <c r="B14" s="160">
        <v>42</v>
      </c>
      <c r="C14" s="160">
        <f>(C4+C5+C6+C7+C8+C9+C10+C11+C12+C13)</f>
        <v>324.40000000000003</v>
      </c>
      <c r="D14" s="161"/>
      <c r="E14" s="161"/>
      <c r="F14" s="161"/>
      <c r="G14" s="162"/>
    </row>
    <row r="15" spans="1:7" ht="12.75">
      <c r="A15" s="163"/>
      <c r="B15" s="161"/>
      <c r="C15" s="161"/>
      <c r="D15" s="161"/>
      <c r="E15" s="161"/>
      <c r="F15" s="161"/>
      <c r="G15" s="162"/>
    </row>
    <row r="16" spans="1:7" ht="12.75">
      <c r="A16" s="159" t="s">
        <v>756</v>
      </c>
      <c r="B16" s="161"/>
      <c r="C16" s="161"/>
      <c r="D16" s="161"/>
      <c r="E16" s="161"/>
      <c r="F16" s="161"/>
      <c r="G16" s="162"/>
    </row>
    <row r="17" spans="1:7" ht="12.75">
      <c r="A17" s="163" t="s">
        <v>757</v>
      </c>
      <c r="B17" s="160">
        <v>5</v>
      </c>
      <c r="C17" s="160">
        <v>36.1</v>
      </c>
      <c r="D17" s="161"/>
      <c r="E17" s="161"/>
      <c r="F17" s="161"/>
      <c r="G17" s="162"/>
    </row>
    <row r="18" spans="1:7" ht="12.75">
      <c r="A18" s="163" t="s">
        <v>758</v>
      </c>
      <c r="B18" s="160">
        <v>5</v>
      </c>
      <c r="C18" s="160">
        <v>29</v>
      </c>
      <c r="D18" s="161"/>
      <c r="E18" s="161"/>
      <c r="F18" s="161"/>
      <c r="G18" s="162"/>
    </row>
    <row r="19" spans="1:7" ht="12.75">
      <c r="A19" s="163" t="s">
        <v>759</v>
      </c>
      <c r="B19" s="160">
        <v>2</v>
      </c>
      <c r="C19" s="160">
        <v>17.1</v>
      </c>
      <c r="D19" s="161"/>
      <c r="E19" s="161"/>
      <c r="F19" s="161"/>
      <c r="G19" s="162"/>
    </row>
    <row r="20" spans="1:7" ht="12.75">
      <c r="A20" s="163" t="s">
        <v>760</v>
      </c>
      <c r="B20" s="160">
        <v>2</v>
      </c>
      <c r="C20" s="160">
        <v>9.9</v>
      </c>
      <c r="D20" s="161"/>
      <c r="E20" s="161"/>
      <c r="F20" s="161"/>
      <c r="G20" s="162"/>
    </row>
    <row r="21" spans="1:7" ht="12.75">
      <c r="A21" s="163" t="s">
        <v>761</v>
      </c>
      <c r="B21" s="160">
        <v>2</v>
      </c>
      <c r="C21" s="160">
        <v>19</v>
      </c>
      <c r="D21" s="161"/>
      <c r="E21" s="161"/>
      <c r="F21" s="161"/>
      <c r="G21" s="162"/>
    </row>
    <row r="22" spans="1:7" ht="13.5" thickBot="1">
      <c r="A22" s="170" t="s">
        <v>755</v>
      </c>
      <c r="B22" s="171">
        <f>B17+B18+B19+B20+B21</f>
        <v>16</v>
      </c>
      <c r="C22" s="171">
        <f>(C17+C18+C19+C20+C21)</f>
        <v>111.1</v>
      </c>
      <c r="D22" s="172"/>
      <c r="E22" s="172"/>
      <c r="F22" s="172"/>
      <c r="G22" s="173"/>
    </row>
    <row r="23" ht="13.5" thickTop="1"/>
    <row r="24" ht="13.5" thickBot="1"/>
    <row r="25" spans="1:7" ht="13.5" thickTop="1">
      <c r="A25" s="174" t="s">
        <v>762</v>
      </c>
      <c r="B25" s="175"/>
      <c r="C25" s="175"/>
      <c r="D25" s="157"/>
      <c r="E25" s="157"/>
      <c r="F25" s="157"/>
      <c r="G25" s="158"/>
    </row>
    <row r="26" spans="1:7" ht="12.75">
      <c r="A26" s="176" t="s">
        <v>663</v>
      </c>
      <c r="B26" s="161" t="s">
        <v>664</v>
      </c>
      <c r="C26" s="161" t="s">
        <v>665</v>
      </c>
      <c r="D26" s="161"/>
      <c r="E26" s="161"/>
      <c r="F26" s="161"/>
      <c r="G26" s="162"/>
    </row>
    <row r="27" spans="1:7" ht="12.75">
      <c r="A27" s="159" t="s">
        <v>666</v>
      </c>
      <c r="B27" s="160"/>
      <c r="C27" s="160"/>
      <c r="D27" s="161"/>
      <c r="E27" s="161"/>
      <c r="F27" s="161"/>
      <c r="G27" s="162"/>
    </row>
    <row r="28" spans="1:7" ht="12.75">
      <c r="A28" s="163" t="s">
        <v>671</v>
      </c>
      <c r="B28" s="160"/>
      <c r="C28" s="160">
        <v>56.8</v>
      </c>
      <c r="D28" s="161"/>
      <c r="E28" s="164" t="s">
        <v>668</v>
      </c>
      <c r="F28" s="165" t="s">
        <v>669</v>
      </c>
      <c r="G28" s="166" t="s">
        <v>670</v>
      </c>
    </row>
    <row r="29" spans="1:7" ht="12.75">
      <c r="A29" s="163" t="s">
        <v>677</v>
      </c>
      <c r="B29" s="160"/>
      <c r="C29" s="160">
        <v>38</v>
      </c>
      <c r="D29" s="161"/>
      <c r="E29" s="164" t="s">
        <v>672</v>
      </c>
      <c r="F29" s="160">
        <f>B34</f>
        <v>42</v>
      </c>
      <c r="G29" s="167">
        <f>C34+C41</f>
        <v>222.89999999999998</v>
      </c>
    </row>
    <row r="30" spans="1:7" ht="12.75">
      <c r="A30" s="163" t="s">
        <v>679</v>
      </c>
      <c r="B30" s="160"/>
      <c r="C30" s="160">
        <v>29.3</v>
      </c>
      <c r="D30" s="161"/>
      <c r="E30" s="164" t="s">
        <v>674</v>
      </c>
      <c r="F30" s="160">
        <f>F29*2</f>
        <v>84</v>
      </c>
      <c r="G30" s="167">
        <v>0</v>
      </c>
    </row>
    <row r="31" spans="1:7" ht="12.75">
      <c r="A31" s="163" t="s">
        <v>750</v>
      </c>
      <c r="B31" s="160"/>
      <c r="C31" s="160">
        <v>0</v>
      </c>
      <c r="D31" s="161">
        <v>22.3</v>
      </c>
      <c r="E31" s="164" t="s">
        <v>676</v>
      </c>
      <c r="F31" s="160">
        <f>F29*3</f>
        <v>126</v>
      </c>
      <c r="G31" s="167">
        <v>0</v>
      </c>
    </row>
    <row r="32" spans="1:7" ht="12.75">
      <c r="A32" s="163" t="s">
        <v>753</v>
      </c>
      <c r="B32" s="160"/>
      <c r="C32" s="160">
        <v>0</v>
      </c>
      <c r="D32" s="161">
        <v>55.6</v>
      </c>
      <c r="E32" s="164" t="s">
        <v>678</v>
      </c>
      <c r="F32" s="160">
        <f>F31</f>
        <v>126</v>
      </c>
      <c r="G32" s="167">
        <f>(G29+G30+G31)</f>
        <v>222.89999999999998</v>
      </c>
    </row>
    <row r="33" spans="1:7" ht="12.75">
      <c r="A33" s="163" t="s">
        <v>754</v>
      </c>
      <c r="B33" s="160"/>
      <c r="C33" s="160">
        <v>0</v>
      </c>
      <c r="D33" s="161">
        <v>16.6</v>
      </c>
      <c r="E33" s="161"/>
      <c r="F33" s="161"/>
      <c r="G33" s="162"/>
    </row>
    <row r="34" spans="1:7" ht="12.75">
      <c r="A34" s="169" t="s">
        <v>755</v>
      </c>
      <c r="B34" s="160">
        <v>42</v>
      </c>
      <c r="C34" s="160">
        <f>(C28+C29+C30+C31+C32+C33)</f>
        <v>124.1</v>
      </c>
      <c r="D34" s="161"/>
      <c r="E34" s="161"/>
      <c r="F34" s="161"/>
      <c r="G34" s="162"/>
    </row>
    <row r="35" spans="1:7" ht="12.75">
      <c r="A35" s="163"/>
      <c r="B35" s="161"/>
      <c r="C35" s="161"/>
      <c r="D35" s="161"/>
      <c r="E35" s="164" t="s">
        <v>752</v>
      </c>
      <c r="F35" s="168">
        <f>(G32/F29)</f>
        <v>5.307142857142857</v>
      </c>
      <c r="G35" s="162"/>
    </row>
    <row r="36" spans="1:7" ht="12.75">
      <c r="A36" s="159" t="s">
        <v>756</v>
      </c>
      <c r="B36" s="161"/>
      <c r="C36" s="161"/>
      <c r="D36" s="161"/>
      <c r="E36" s="161"/>
      <c r="F36" s="161"/>
      <c r="G36" s="162"/>
    </row>
    <row r="37" spans="1:7" ht="12.75">
      <c r="A37" s="163" t="s">
        <v>757</v>
      </c>
      <c r="B37" s="160">
        <v>5</v>
      </c>
      <c r="C37" s="160">
        <v>36.1</v>
      </c>
      <c r="D37" s="161"/>
      <c r="E37" s="161"/>
      <c r="F37" s="161"/>
      <c r="G37" s="162"/>
    </row>
    <row r="38" spans="1:7" ht="12.75">
      <c r="A38" s="163" t="s">
        <v>758</v>
      </c>
      <c r="B38" s="160">
        <v>5</v>
      </c>
      <c r="C38" s="160">
        <v>29</v>
      </c>
      <c r="D38" s="161"/>
      <c r="E38" s="161"/>
      <c r="F38" s="161"/>
      <c r="G38" s="162"/>
    </row>
    <row r="39" spans="1:7" ht="12.75">
      <c r="A39" s="163" t="s">
        <v>759</v>
      </c>
      <c r="B39" s="160">
        <v>2</v>
      </c>
      <c r="C39" s="160">
        <v>17.1</v>
      </c>
      <c r="D39" s="161"/>
      <c r="E39" s="161"/>
      <c r="F39" s="161"/>
      <c r="G39" s="162"/>
    </row>
    <row r="40" spans="1:7" ht="12.75">
      <c r="A40" s="163" t="s">
        <v>761</v>
      </c>
      <c r="B40" s="160">
        <v>2</v>
      </c>
      <c r="C40" s="160">
        <v>16.6</v>
      </c>
      <c r="D40" s="161"/>
      <c r="E40" s="161"/>
      <c r="F40" s="161"/>
      <c r="G40" s="162"/>
    </row>
    <row r="41" spans="1:7" ht="13.5" thickBot="1">
      <c r="A41" s="170" t="s">
        <v>755</v>
      </c>
      <c r="B41" s="171">
        <f>B37+B38+B39+B40</f>
        <v>14</v>
      </c>
      <c r="C41" s="171">
        <f>(C37+C38+C39+C40)</f>
        <v>98.79999999999998</v>
      </c>
      <c r="D41" s="172"/>
      <c r="E41" s="172"/>
      <c r="F41" s="172"/>
      <c r="G41" s="173"/>
    </row>
    <row r="42" ht="13.5" thickTop="1"/>
    <row r="43" ht="12.75">
      <c r="A43" s="155" t="s">
        <v>763</v>
      </c>
    </row>
    <row r="44" ht="12.75"/>
    <row r="45" spans="1:2" ht="12.75">
      <c r="A45" s="177" t="s">
        <v>764</v>
      </c>
      <c r="B45" s="177"/>
    </row>
    <row r="46" spans="2:3" ht="12.75">
      <c r="B46" s="155" t="s">
        <v>765</v>
      </c>
      <c r="C46" s="182" t="s">
        <v>140</v>
      </c>
    </row>
    <row r="47" spans="1:3" ht="12.75">
      <c r="A47" s="178" t="s">
        <v>766</v>
      </c>
      <c r="B47" s="179">
        <v>1.6</v>
      </c>
      <c r="C47" s="183">
        <f>B47*0.8</f>
        <v>1.2800000000000002</v>
      </c>
    </row>
    <row r="48" spans="1:2" ht="12.75">
      <c r="A48" s="178" t="s">
        <v>767</v>
      </c>
      <c r="B48" s="179">
        <v>6.6</v>
      </c>
    </row>
    <row r="49" spans="1:2" ht="12.75">
      <c r="A49" s="155" t="s">
        <v>768</v>
      </c>
      <c r="B49" s="180">
        <f>(16+10)/3+(10/3)</f>
        <v>12</v>
      </c>
    </row>
    <row r="50" spans="1:2" ht="12.75">
      <c r="A50" s="155" t="s">
        <v>769</v>
      </c>
      <c r="B50" s="180">
        <f>B34</f>
        <v>42</v>
      </c>
    </row>
    <row r="51" ht="12.75">
      <c r="B51" s="181">
        <f>SUM(B47:B50)</f>
        <v>62.2</v>
      </c>
    </row>
    <row r="52" ht="12.75"/>
    <row r="53" ht="12">
      <c r="A53" s="155" t="s">
        <v>763</v>
      </c>
    </row>
  </sheetData>
  <sheetProtection/>
  <printOptions/>
  <pageMargins left="0.94" right="0.75" top="1" bottom="0.76" header="0.36" footer="0.5"/>
  <pageSetup fitToHeight="1" fitToWidth="1" horizontalDpi="300" verticalDpi="300" orientation="landscape" scale="67" r:id="rId3"/>
  <headerFooter alignWithMargins="0">
    <oddHeader>&amp;C&amp;"MS Sans Serif,Bold"&amp;12Master Plan for Education Technology
2001-2006
Software Data</oddHeader>
  </headerFooter>
  <legacyDrawing r:id="rId2"/>
</worksheet>
</file>

<file path=xl/worksheets/sheet12.xml><?xml version="1.0" encoding="utf-8"?>
<worksheet xmlns="http://schemas.openxmlformats.org/spreadsheetml/2006/main" xmlns:r="http://schemas.openxmlformats.org/officeDocument/2006/relationships">
  <dimension ref="A1:J53"/>
  <sheetViews>
    <sheetView zoomScalePageLayoutView="0" workbookViewId="0" topLeftCell="A3">
      <selection activeCell="E12" sqref="E12"/>
    </sheetView>
  </sheetViews>
  <sheetFormatPr defaultColWidth="9.140625" defaultRowHeight="12.75"/>
  <cols>
    <col min="1" max="1" width="47.8515625" style="0" bestFit="1" customWidth="1"/>
    <col min="2" max="2" width="7.57421875" style="0" bestFit="1" customWidth="1"/>
    <col min="3" max="3" width="16.57421875" style="0" bestFit="1" customWidth="1"/>
    <col min="4" max="4" width="13.7109375" style="0" bestFit="1" customWidth="1"/>
    <col min="5" max="5" width="8.140625" style="0" bestFit="1" customWidth="1"/>
    <col min="6" max="6" width="12.140625" style="0" bestFit="1" customWidth="1"/>
    <col min="7" max="7" width="8.140625" style="0" bestFit="1" customWidth="1"/>
  </cols>
  <sheetData>
    <row r="1" spans="1:8" ht="12.75">
      <c r="A1" s="898"/>
      <c r="B1" s="898"/>
      <c r="C1" s="898"/>
      <c r="D1" s="898"/>
      <c r="E1" s="898"/>
      <c r="F1" s="898"/>
      <c r="G1" s="898"/>
      <c r="H1" s="898"/>
    </row>
    <row r="2" spans="1:8" ht="12.75">
      <c r="A2" s="1371" t="s">
        <v>1865</v>
      </c>
      <c r="B2" s="1375"/>
      <c r="C2" s="1375"/>
      <c r="D2" s="1375"/>
      <c r="E2" s="1375"/>
      <c r="F2" s="1375"/>
      <c r="G2" s="1375"/>
      <c r="H2" s="1375"/>
    </row>
    <row r="3" spans="1:8" ht="12.75">
      <c r="A3" s="1373" t="s">
        <v>1866</v>
      </c>
      <c r="B3" s="1374"/>
      <c r="C3" s="1374"/>
      <c r="D3" s="1374"/>
      <c r="E3" s="1374"/>
      <c r="F3" s="1374"/>
      <c r="G3" s="1374"/>
      <c r="H3" s="1374"/>
    </row>
    <row r="4" spans="1:8" ht="12.75">
      <c r="A4" s="1373" t="s">
        <v>1867</v>
      </c>
      <c r="B4" s="1374"/>
      <c r="C4" s="1374"/>
      <c r="D4" s="1374"/>
      <c r="E4" s="1374"/>
      <c r="F4" s="1374"/>
      <c r="G4" s="1374"/>
      <c r="H4" s="1374"/>
    </row>
    <row r="5" spans="1:8" ht="12.75">
      <c r="A5" s="1237"/>
      <c r="B5" s="1238"/>
      <c r="C5" s="898"/>
      <c r="D5" s="253" t="s">
        <v>195</v>
      </c>
      <c r="E5" s="253" t="s">
        <v>197</v>
      </c>
      <c r="F5" s="253" t="s">
        <v>772</v>
      </c>
      <c r="G5" s="253" t="s">
        <v>1868</v>
      </c>
      <c r="H5" s="898"/>
    </row>
    <row r="6" spans="1:8" ht="12.75">
      <c r="A6" s="1239" t="s">
        <v>1869</v>
      </c>
      <c r="B6" s="1240">
        <f>SUM(E10,F10,G10)/3</f>
        <v>677.1666666666666</v>
      </c>
      <c r="C6" s="898" t="s">
        <v>1870</v>
      </c>
      <c r="D6" s="1241">
        <v>999</v>
      </c>
      <c r="E6" s="1241">
        <v>447.5</v>
      </c>
      <c r="F6" s="1241">
        <v>467</v>
      </c>
      <c r="G6" s="1241">
        <v>505</v>
      </c>
      <c r="H6" s="898"/>
    </row>
    <row r="7" spans="1:8" ht="12.75">
      <c r="A7" s="1239" t="s">
        <v>1871</v>
      </c>
      <c r="B7" s="1242">
        <f>D10</f>
        <v>1211.5</v>
      </c>
      <c r="C7" s="898" t="s">
        <v>1872</v>
      </c>
      <c r="D7" s="1241">
        <v>1149</v>
      </c>
      <c r="E7" s="1241">
        <v>562.5</v>
      </c>
      <c r="F7" s="1241">
        <v>561</v>
      </c>
      <c r="G7" s="1241">
        <v>564</v>
      </c>
      <c r="H7" s="898"/>
    </row>
    <row r="8" spans="1:8" ht="12.75">
      <c r="A8" s="1239" t="s">
        <v>1873</v>
      </c>
      <c r="B8" s="1242">
        <f>SUM(D10,E10,F10,G10)/4</f>
        <v>810.75</v>
      </c>
      <c r="C8" s="898" t="s">
        <v>1874</v>
      </c>
      <c r="D8" s="1241">
        <v>1099</v>
      </c>
      <c r="E8" s="1241">
        <v>875</v>
      </c>
      <c r="F8" s="1241">
        <v>771</v>
      </c>
      <c r="G8" s="1241">
        <v>782</v>
      </c>
      <c r="H8" s="898"/>
    </row>
    <row r="9" spans="1:10" ht="12.75">
      <c r="A9" s="1237"/>
      <c r="B9" s="1238"/>
      <c r="C9" s="898" t="s">
        <v>1875</v>
      </c>
      <c r="D9" s="1241">
        <v>1599</v>
      </c>
      <c r="E9" s="1241">
        <v>900</v>
      </c>
      <c r="F9" s="1241">
        <v>737</v>
      </c>
      <c r="G9" s="1241">
        <v>954</v>
      </c>
      <c r="H9" s="898"/>
      <c r="J9" s="194"/>
    </row>
    <row r="10" spans="1:10" ht="12.75">
      <c r="A10" s="898"/>
      <c r="B10" s="898"/>
      <c r="C10" s="253" t="s">
        <v>1876</v>
      </c>
      <c r="D10" s="1240">
        <f>SUM(D6:D9)/4</f>
        <v>1211.5</v>
      </c>
      <c r="E10" s="1240">
        <f>SUM(E6:E9)/4</f>
        <v>696.25</v>
      </c>
      <c r="F10" s="1240">
        <f>SUM(F6:F9)/4</f>
        <v>634</v>
      </c>
      <c r="G10" s="1243">
        <f>SUM(G6:G9)/4</f>
        <v>701.25</v>
      </c>
      <c r="H10" s="898"/>
      <c r="J10" s="194"/>
    </row>
    <row r="11" spans="1:8" ht="12.75">
      <c r="A11" s="898"/>
      <c r="B11" s="898"/>
      <c r="C11" s="253"/>
      <c r="D11" s="1243"/>
      <c r="E11" s="1243"/>
      <c r="F11" s="1243"/>
      <c r="G11" s="1243"/>
      <c r="H11" s="898"/>
    </row>
    <row r="12" spans="1:8" ht="12.75">
      <c r="A12" s="1244" t="s">
        <v>1877</v>
      </c>
      <c r="B12" s="898"/>
      <c r="C12" s="253"/>
      <c r="D12" s="1243"/>
      <c r="E12" s="1240">
        <f>SUM(D6,E6,F6,G6)/4*0.75+SUM(D8,E8,F8,G8)/4*0.25</f>
        <v>673.90625</v>
      </c>
      <c r="F12" s="1243"/>
      <c r="G12" s="1243"/>
      <c r="H12" s="898"/>
    </row>
    <row r="13" spans="1:8" ht="12.75">
      <c r="A13" s="1244" t="s">
        <v>1878</v>
      </c>
      <c r="B13" s="898"/>
      <c r="C13" s="253"/>
      <c r="D13" s="1243"/>
      <c r="E13" s="1240">
        <f>SUM(D7,E7,F7,G7)/4*0.25+SUM(D9,E9,F9,G9)/4*0.75</f>
        <v>962.90625</v>
      </c>
      <c r="F13" s="1243"/>
      <c r="G13" s="1243"/>
      <c r="H13" s="898"/>
    </row>
    <row r="14" spans="1:8" ht="12.75">
      <c r="A14" s="1244" t="s">
        <v>1879</v>
      </c>
      <c r="B14" s="898"/>
      <c r="C14" s="253"/>
      <c r="D14" s="1243"/>
      <c r="E14" s="1240">
        <f>SUM(D7,E7,F7,G7)/4*0.5+SUM(D9,E9,F9,G9)/4*0.5</f>
        <v>878.3125</v>
      </c>
      <c r="F14" s="1243"/>
      <c r="G14" s="1243"/>
      <c r="H14" s="898"/>
    </row>
    <row r="15" spans="1:8" ht="12.75">
      <c r="A15" s="898"/>
      <c r="B15" s="898"/>
      <c r="C15" s="898"/>
      <c r="D15" s="898"/>
      <c r="E15" s="898"/>
      <c r="F15" s="898"/>
      <c r="G15" s="898"/>
      <c r="H15" s="898"/>
    </row>
    <row r="16" spans="1:8" ht="12.75">
      <c r="A16" s="1371" t="s">
        <v>1880</v>
      </c>
      <c r="B16" s="1372"/>
      <c r="C16" s="1372"/>
      <c r="D16" s="1372"/>
      <c r="E16" s="1372"/>
      <c r="F16" s="1372"/>
      <c r="G16" s="1372"/>
      <c r="H16" s="1372"/>
    </row>
    <row r="17" spans="1:8" ht="12.75">
      <c r="A17" s="1237"/>
      <c r="B17" s="1238"/>
      <c r="C17" s="898"/>
      <c r="D17" s="253" t="s">
        <v>195</v>
      </c>
      <c r="E17" s="253" t="s">
        <v>197</v>
      </c>
      <c r="F17" s="253" t="s">
        <v>772</v>
      </c>
      <c r="G17" s="253" t="s">
        <v>1868</v>
      </c>
      <c r="H17" s="898"/>
    </row>
    <row r="18" spans="1:10" ht="12.75">
      <c r="A18" s="1239" t="s">
        <v>1869</v>
      </c>
      <c r="B18" s="1240">
        <f>SUM(E22+F22+G22)/3</f>
        <v>140.28333333333333</v>
      </c>
      <c r="C18" s="898" t="s">
        <v>1870</v>
      </c>
      <c r="D18" s="1241">
        <v>184</v>
      </c>
      <c r="E18" s="1241">
        <v>106.94</v>
      </c>
      <c r="F18" s="1241">
        <v>70</v>
      </c>
      <c r="G18" s="1241">
        <v>115.6</v>
      </c>
      <c r="H18" s="1238"/>
      <c r="J18" s="194"/>
    </row>
    <row r="19" spans="1:8" ht="12.75">
      <c r="A19" s="1239" t="s">
        <v>1871</v>
      </c>
      <c r="B19" s="1242">
        <f>D22</f>
        <v>197.25</v>
      </c>
      <c r="C19" s="898" t="s">
        <v>1872</v>
      </c>
      <c r="D19" s="1241">
        <v>184</v>
      </c>
      <c r="E19" s="1241">
        <v>107.94</v>
      </c>
      <c r="F19" s="1241">
        <v>70</v>
      </c>
      <c r="G19" s="1241">
        <v>115.6</v>
      </c>
      <c r="H19" s="1238"/>
    </row>
    <row r="20" spans="1:8" ht="12.75">
      <c r="A20" s="1239" t="s">
        <v>1873</v>
      </c>
      <c r="B20" s="1252">
        <f>(D22*0.1)+(((E22+F22+G22)/3)*0.9)</f>
        <v>145.98</v>
      </c>
      <c r="C20" s="898" t="s">
        <v>1874</v>
      </c>
      <c r="D20" s="1241">
        <v>320</v>
      </c>
      <c r="E20" s="1241">
        <v>214.11</v>
      </c>
      <c r="F20" s="1241">
        <v>124</v>
      </c>
      <c r="G20" s="1241">
        <v>88.4</v>
      </c>
      <c r="H20" s="1238"/>
    </row>
    <row r="21" spans="1:8" ht="12.75">
      <c r="A21" s="1239" t="s">
        <v>1895</v>
      </c>
      <c r="B21" s="1252">
        <f>(D23*0.1)+(((E23+F23+G23)/3)*0.9)</f>
        <v>119.60975</v>
      </c>
      <c r="C21" s="898" t="s">
        <v>1875</v>
      </c>
      <c r="D21" s="1241">
        <v>174</v>
      </c>
      <c r="E21" s="1241">
        <v>214.11</v>
      </c>
      <c r="F21" s="1241">
        <v>124</v>
      </c>
      <c r="G21" s="1241">
        <v>251.6</v>
      </c>
      <c r="H21" s="1238"/>
    </row>
    <row r="22" spans="1:8" ht="12.75">
      <c r="A22" s="314" t="s">
        <v>1896</v>
      </c>
      <c r="B22" s="1252">
        <f>(D24*0.1)+(((E24+F24+G24)/3)*0.9)</f>
        <v>172.35025000000002</v>
      </c>
      <c r="C22" s="253" t="s">
        <v>1876</v>
      </c>
      <c r="D22" s="1251">
        <f>(((D18*0.75)+(D20*0.25))+((D19*0.25)+(D21*0.75)))/2</f>
        <v>197.25</v>
      </c>
      <c r="E22" s="1251">
        <f>(((E18*0.75)+(E20*0.25))+((E19*0.25)+(E21*0.75)))/2</f>
        <v>160.65</v>
      </c>
      <c r="F22" s="1251">
        <f>(((F18*0.75)+(F20*0.25))+((F19*0.25)+(F21*0.75)))/2</f>
        <v>97</v>
      </c>
      <c r="G22" s="1251">
        <f>(((G18*0.75)+(G20*0.25))+((G19*0.25)+(G21*0.75)))/2</f>
        <v>163.2</v>
      </c>
      <c r="H22" s="898"/>
    </row>
    <row r="23" spans="1:8" ht="12.75">
      <c r="A23" s="898"/>
      <c r="B23" s="898"/>
      <c r="C23" s="253" t="s">
        <v>1893</v>
      </c>
      <c r="D23" s="1251">
        <f>(D18*0.75)+(D20*0.25)</f>
        <v>218</v>
      </c>
      <c r="E23" s="1251">
        <f>(E18*0.75)+(E20*0.25)</f>
        <v>133.73250000000002</v>
      </c>
      <c r="F23" s="1251">
        <f>(F18*0.75)+(F20*0.25)</f>
        <v>83.5</v>
      </c>
      <c r="G23" s="1251">
        <f>(G18*0.75)+(G20*0.25)</f>
        <v>108.79999999999998</v>
      </c>
      <c r="H23" s="898"/>
    </row>
    <row r="24" spans="1:8" ht="12.75">
      <c r="A24" s="898"/>
      <c r="B24" s="898"/>
      <c r="C24" s="253" t="s">
        <v>1894</v>
      </c>
      <c r="D24" s="1251">
        <f>(D19*0.25)+(D21*0.75)</f>
        <v>176.5</v>
      </c>
      <c r="E24" s="1251">
        <f>(E19*0.25)+(E21*0.75)</f>
        <v>187.5675</v>
      </c>
      <c r="F24" s="1251">
        <f>(F19*0.25)+(F21*0.75)</f>
        <v>110.5</v>
      </c>
      <c r="G24" s="1251">
        <f>(G19*0.25)+(G21*0.75)</f>
        <v>217.6</v>
      </c>
      <c r="H24" s="898"/>
    </row>
    <row r="25" spans="1:8" ht="12.75">
      <c r="A25" s="898"/>
      <c r="B25" s="898"/>
      <c r="C25" s="898"/>
      <c r="H25" s="898"/>
    </row>
    <row r="26" spans="1:8" ht="13.5">
      <c r="A26" s="1371" t="s">
        <v>1881</v>
      </c>
      <c r="B26" s="1372"/>
      <c r="C26" s="1372"/>
      <c r="D26" s="1372"/>
      <c r="E26" s="1372"/>
      <c r="F26" s="1372"/>
      <c r="G26" s="1372"/>
      <c r="H26" s="1372"/>
    </row>
    <row r="27" spans="1:8" ht="12.75">
      <c r="A27" s="1373" t="s">
        <v>1866</v>
      </c>
      <c r="B27" s="1374"/>
      <c r="C27" s="1374"/>
      <c r="D27" s="1374"/>
      <c r="E27" s="1374"/>
      <c r="F27" s="1374"/>
      <c r="G27" s="1374"/>
      <c r="H27" s="1374"/>
    </row>
    <row r="28" spans="1:8" ht="13.5">
      <c r="A28" s="898"/>
      <c r="B28" s="1238"/>
      <c r="C28" s="898"/>
      <c r="D28" s="253" t="s">
        <v>1882</v>
      </c>
      <c r="E28" s="253"/>
      <c r="F28" s="253" t="s">
        <v>1883</v>
      </c>
      <c r="G28" s="253"/>
      <c r="H28" s="898"/>
    </row>
    <row r="29" spans="1:8" ht="13.5">
      <c r="A29" s="1245" t="s">
        <v>770</v>
      </c>
      <c r="B29" s="1240">
        <f>SUM(D29,F29)/2</f>
        <v>147.925</v>
      </c>
      <c r="C29" s="899"/>
      <c r="D29" s="1246">
        <v>137.95</v>
      </c>
      <c r="E29" s="1246"/>
      <c r="F29" s="1246">
        <v>157.9</v>
      </c>
      <c r="G29" s="1246"/>
      <c r="H29" s="1247"/>
    </row>
    <row r="30" spans="1:8" ht="13.5">
      <c r="A30" s="1248"/>
      <c r="B30" s="898"/>
      <c r="C30" s="898"/>
      <c r="D30" s="1249"/>
      <c r="E30" s="1249"/>
      <c r="F30" s="1249"/>
      <c r="G30" s="1249"/>
      <c r="H30" s="1248"/>
    </row>
    <row r="31" spans="1:8" ht="13.5">
      <c r="A31" s="1371" t="s">
        <v>1884</v>
      </c>
      <c r="B31" s="1372"/>
      <c r="C31" s="1372"/>
      <c r="D31" s="1372"/>
      <c r="E31" s="1372"/>
      <c r="F31" s="1372"/>
      <c r="G31" s="1372"/>
      <c r="H31" s="1372"/>
    </row>
    <row r="32" spans="1:8" ht="13.5">
      <c r="A32" s="898"/>
      <c r="B32" s="1238"/>
      <c r="C32" s="898"/>
      <c r="D32" s="253" t="s">
        <v>1882</v>
      </c>
      <c r="E32" s="253"/>
      <c r="F32" s="253" t="s">
        <v>1883</v>
      </c>
      <c r="G32" s="253"/>
      <c r="H32" s="898"/>
    </row>
    <row r="33" spans="1:8" ht="13.5">
      <c r="A33" s="1245" t="s">
        <v>770</v>
      </c>
      <c r="B33" s="1240">
        <f>SUM(D33,F33)/2</f>
        <v>38.46</v>
      </c>
      <c r="C33" s="899"/>
      <c r="D33" s="1246">
        <v>52.27</v>
      </c>
      <c r="E33" s="1246"/>
      <c r="F33" s="1246">
        <v>24.65</v>
      </c>
      <c r="G33" s="1246"/>
      <c r="H33" s="1247"/>
    </row>
    <row r="34" spans="1:8" ht="13.5">
      <c r="A34" s="1248"/>
      <c r="B34" s="898"/>
      <c r="C34" s="898"/>
      <c r="D34" s="1249"/>
      <c r="E34" s="1249"/>
      <c r="F34" s="1249"/>
      <c r="G34" s="1249"/>
      <c r="H34" s="1248"/>
    </row>
    <row r="35" spans="1:8" ht="13.5">
      <c r="A35" s="1371" t="s">
        <v>1885</v>
      </c>
      <c r="B35" s="1372"/>
      <c r="C35" s="1372"/>
      <c r="D35" s="1372"/>
      <c r="E35" s="1372"/>
      <c r="F35" s="1372"/>
      <c r="G35" s="1372"/>
      <c r="H35" s="1372"/>
    </row>
    <row r="36" spans="1:8" ht="12.75">
      <c r="A36" s="1373" t="s">
        <v>1866</v>
      </c>
      <c r="B36" s="1374"/>
      <c r="C36" s="1374"/>
      <c r="D36" s="1374"/>
      <c r="E36" s="1374"/>
      <c r="F36" s="1374"/>
      <c r="G36" s="1374"/>
      <c r="H36" s="1374"/>
    </row>
    <row r="37" spans="1:8" ht="13.5">
      <c r="A37" s="898"/>
      <c r="B37" s="1238"/>
      <c r="C37" s="898"/>
      <c r="D37" s="253" t="s">
        <v>1882</v>
      </c>
      <c r="E37" s="253"/>
      <c r="F37" s="253" t="s">
        <v>1883</v>
      </c>
      <c r="G37" s="253"/>
      <c r="H37" s="898"/>
    </row>
    <row r="38" spans="1:8" ht="13.5">
      <c r="A38" s="1245" t="s">
        <v>770</v>
      </c>
      <c r="B38" s="1240">
        <f>SUM(D38,F38)/2</f>
        <v>386.565</v>
      </c>
      <c r="C38" s="899"/>
      <c r="D38" s="1246">
        <v>346.03</v>
      </c>
      <c r="E38" s="1246"/>
      <c r="F38" s="1246">
        <v>427.1</v>
      </c>
      <c r="G38" s="1246"/>
      <c r="H38" s="1247"/>
    </row>
    <row r="39" spans="1:8" ht="13.5">
      <c r="A39" s="1248"/>
      <c r="B39" s="898"/>
      <c r="C39" s="898"/>
      <c r="D39" s="1249"/>
      <c r="E39" s="1249"/>
      <c r="F39" s="1249"/>
      <c r="G39" s="1249"/>
      <c r="H39" s="1248"/>
    </row>
    <row r="40" spans="1:8" ht="13.5">
      <c r="A40" s="1371" t="s">
        <v>1886</v>
      </c>
      <c r="B40" s="1372"/>
      <c r="C40" s="1372"/>
      <c r="D40" s="1372"/>
      <c r="E40" s="1372"/>
      <c r="F40" s="1372"/>
      <c r="G40" s="1372"/>
      <c r="H40" s="1372"/>
    </row>
    <row r="41" spans="1:8" ht="13.5">
      <c r="A41" s="898"/>
      <c r="B41" s="1238"/>
      <c r="C41" s="898"/>
      <c r="D41" s="253" t="s">
        <v>1882</v>
      </c>
      <c r="E41" s="253"/>
      <c r="F41" s="253" t="s">
        <v>1883</v>
      </c>
      <c r="G41" s="253"/>
      <c r="H41" s="898"/>
    </row>
    <row r="42" spans="1:8" ht="13.5">
      <c r="A42" s="1245" t="s">
        <v>770</v>
      </c>
      <c r="B42" s="1240">
        <f>D42</f>
        <v>58.89</v>
      </c>
      <c r="C42" s="899"/>
      <c r="D42" s="1246">
        <v>58.89</v>
      </c>
      <c r="E42" s="1246"/>
      <c r="F42" s="1246" t="s">
        <v>1887</v>
      </c>
      <c r="G42" s="1246"/>
      <c r="H42" s="1247"/>
    </row>
    <row r="43" spans="1:8" ht="13.5">
      <c r="A43" s="1248"/>
      <c r="B43" s="898"/>
      <c r="C43" s="898"/>
      <c r="D43" s="1249"/>
      <c r="E43" s="1249"/>
      <c r="F43" s="1249"/>
      <c r="G43" s="1249"/>
      <c r="H43" s="1248"/>
    </row>
    <row r="44" spans="1:8" ht="13.5">
      <c r="A44" s="1371" t="s">
        <v>1888</v>
      </c>
      <c r="B44" s="1375"/>
      <c r="C44" s="1375"/>
      <c r="D44" s="1375"/>
      <c r="E44" s="1375"/>
      <c r="F44" s="1375"/>
      <c r="G44" s="1375"/>
      <c r="H44" s="1375"/>
    </row>
    <row r="45" spans="1:8" ht="12.75">
      <c r="A45" s="1373" t="s">
        <v>1866</v>
      </c>
      <c r="B45" s="1374"/>
      <c r="C45" s="1374"/>
      <c r="D45" s="1374"/>
      <c r="E45" s="1374"/>
      <c r="F45" s="1374"/>
      <c r="G45" s="1374"/>
      <c r="H45" s="1374"/>
    </row>
    <row r="46" spans="1:8" ht="13.5">
      <c r="A46" s="898"/>
      <c r="B46" s="898"/>
      <c r="C46" s="898"/>
      <c r="D46" s="253" t="s">
        <v>197</v>
      </c>
      <c r="E46" s="253" t="s">
        <v>772</v>
      </c>
      <c r="F46" s="253" t="s">
        <v>198</v>
      </c>
      <c r="G46" s="898"/>
      <c r="H46" s="898"/>
    </row>
    <row r="47" spans="1:8" ht="13.5">
      <c r="A47" s="1245" t="s">
        <v>770</v>
      </c>
      <c r="B47" s="1240">
        <f>SUM(D47,E47,F47)/3</f>
        <v>2402.3133333333335</v>
      </c>
      <c r="C47" s="898" t="s">
        <v>1889</v>
      </c>
      <c r="D47" s="1250">
        <v>2250</v>
      </c>
      <c r="E47" s="1250">
        <v>2111.94</v>
      </c>
      <c r="F47" s="1250">
        <v>2845</v>
      </c>
      <c r="G47" s="898"/>
      <c r="H47" s="898"/>
    </row>
    <row r="48" spans="1:8" ht="13.5">
      <c r="A48" s="1245" t="s">
        <v>770</v>
      </c>
      <c r="B48" s="1240">
        <f>SUM(D48,E48,F48)/3</f>
        <v>2155.5933333333332</v>
      </c>
      <c r="C48" s="898" t="s">
        <v>1890</v>
      </c>
      <c r="D48" s="1250">
        <v>2600</v>
      </c>
      <c r="E48" s="1250">
        <v>1721.78</v>
      </c>
      <c r="F48" s="1250">
        <v>2145</v>
      </c>
      <c r="G48" s="898"/>
      <c r="H48" s="898"/>
    </row>
    <row r="49" spans="1:8" ht="13.5">
      <c r="A49" s="898"/>
      <c r="B49" s="898"/>
      <c r="C49" s="253" t="s">
        <v>1876</v>
      </c>
      <c r="D49" s="1240">
        <f>SUM(D47:D48)/2</f>
        <v>2425</v>
      </c>
      <c r="E49" s="1240">
        <f>SUM(E47:E48)/2</f>
        <v>1916.8600000000001</v>
      </c>
      <c r="F49" s="1240">
        <f>SUM(F47:F48)/2</f>
        <v>2495</v>
      </c>
      <c r="G49" s="898"/>
      <c r="H49" s="898"/>
    </row>
    <row r="50" spans="1:8" ht="13.5">
      <c r="A50" s="1371" t="s">
        <v>1891</v>
      </c>
      <c r="B50" s="1372"/>
      <c r="C50" s="1372"/>
      <c r="D50" s="1372"/>
      <c r="E50" s="1372"/>
      <c r="F50" s="1372"/>
      <c r="G50" s="1372"/>
      <c r="H50" s="1372"/>
    </row>
    <row r="51" spans="1:8" ht="13.5">
      <c r="A51" s="1237"/>
      <c r="B51" s="1238"/>
      <c r="C51" s="898"/>
      <c r="D51" s="253" t="s">
        <v>197</v>
      </c>
      <c r="E51" s="253" t="s">
        <v>772</v>
      </c>
      <c r="F51" s="253" t="s">
        <v>198</v>
      </c>
      <c r="G51" s="253"/>
      <c r="H51" s="898"/>
    </row>
    <row r="52" spans="1:8" ht="13.5">
      <c r="A52" s="1245" t="s">
        <v>1892</v>
      </c>
      <c r="B52" s="1240">
        <f>SUM(D52,E52,F52)/3</f>
        <v>371.0133333333333</v>
      </c>
      <c r="C52" s="898" t="s">
        <v>1889</v>
      </c>
      <c r="D52" s="1250">
        <v>612.84</v>
      </c>
      <c r="E52" s="1250">
        <v>500.2</v>
      </c>
      <c r="F52" s="1250"/>
      <c r="G52" s="1241"/>
      <c r="H52" s="1238"/>
    </row>
    <row r="53" spans="1:8" ht="13.5">
      <c r="A53" s="1239"/>
      <c r="B53" s="1242"/>
      <c r="C53" s="253" t="s">
        <v>1876</v>
      </c>
      <c r="D53" s="1240">
        <f>SUM(D52:D52)/2</f>
        <v>306.42</v>
      </c>
      <c r="E53" s="1240">
        <f>SUM(E52:E52)/2</f>
        <v>250.1</v>
      </c>
      <c r="F53" s="1240">
        <f>SUM(F52:F52)/2</f>
        <v>0</v>
      </c>
      <c r="G53" s="1241"/>
      <c r="H53" s="1238"/>
    </row>
  </sheetData>
  <sheetProtection/>
  <mergeCells count="13">
    <mergeCell ref="A2:H2"/>
    <mergeCell ref="A3:H3"/>
    <mergeCell ref="A4:H4"/>
    <mergeCell ref="A16:H16"/>
    <mergeCell ref="A26:H26"/>
    <mergeCell ref="A27:H27"/>
    <mergeCell ref="A50:H50"/>
    <mergeCell ref="A31:H31"/>
    <mergeCell ref="A35:H35"/>
    <mergeCell ref="A36:H36"/>
    <mergeCell ref="A40:H40"/>
    <mergeCell ref="A44:H44"/>
    <mergeCell ref="A45:H4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I66"/>
  <sheetViews>
    <sheetView zoomScalePageLayoutView="0" workbookViewId="0" topLeftCell="A46">
      <selection activeCell="I4" sqref="I4"/>
    </sheetView>
  </sheetViews>
  <sheetFormatPr defaultColWidth="9.140625" defaultRowHeight="12.75"/>
  <cols>
    <col min="1" max="1" width="20.00390625" style="0" customWidth="1"/>
    <col min="2" max="2" width="18.8515625" style="0" customWidth="1"/>
    <col min="3" max="3" width="19.28125" style="0" customWidth="1"/>
    <col min="4" max="4" width="15.7109375" style="0" customWidth="1"/>
    <col min="5" max="5" width="18.57421875" style="0" customWidth="1"/>
    <col min="6" max="6" width="14.7109375" style="0" customWidth="1"/>
  </cols>
  <sheetData>
    <row r="1" spans="1:4" ht="12.75">
      <c r="A1" s="195"/>
      <c r="B1" s="195" t="s">
        <v>826</v>
      </c>
      <c r="C1" s="195" t="s">
        <v>827</v>
      </c>
      <c r="D1" s="195"/>
    </row>
    <row r="2" spans="1:4" ht="12.75">
      <c r="A2" s="195" t="s">
        <v>828</v>
      </c>
      <c r="B2" s="196">
        <v>91</v>
      </c>
      <c r="C2" s="196">
        <v>5</v>
      </c>
      <c r="D2" s="195"/>
    </row>
    <row r="3" spans="1:4" ht="12.75">
      <c r="A3" s="195" t="s">
        <v>829</v>
      </c>
      <c r="B3" s="227">
        <v>36.5</v>
      </c>
      <c r="C3" s="195"/>
      <c r="D3" s="195"/>
    </row>
    <row r="4" spans="1:4" ht="12.75">
      <c r="A4" s="195"/>
      <c r="B4" s="195"/>
      <c r="C4" s="195"/>
      <c r="D4" s="195"/>
    </row>
    <row r="5" spans="1:4" ht="12.75">
      <c r="A5" s="197" t="s">
        <v>830</v>
      </c>
      <c r="B5" s="198" t="s">
        <v>259</v>
      </c>
      <c r="C5" s="198" t="s">
        <v>259</v>
      </c>
      <c r="D5" s="195" t="s">
        <v>831</v>
      </c>
    </row>
    <row r="6" spans="1:4" ht="12.75">
      <c r="A6" s="195">
        <v>100</v>
      </c>
      <c r="B6" s="196">
        <v>91</v>
      </c>
      <c r="C6" s="196">
        <f>(C2*A6)</f>
        <v>500</v>
      </c>
      <c r="D6" s="196">
        <f>(B6+C6)/A6</f>
        <v>5.91</v>
      </c>
    </row>
    <row r="7" spans="1:4" ht="12.75">
      <c r="A7" s="195">
        <v>250</v>
      </c>
      <c r="B7" s="196">
        <v>91</v>
      </c>
      <c r="C7" s="196">
        <f>(C2*A7)</f>
        <v>1250</v>
      </c>
      <c r="D7" s="196">
        <f>(B7+C7)/A7</f>
        <v>5.364</v>
      </c>
    </row>
    <row r="8" spans="1:4" ht="12.75">
      <c r="A8" s="195">
        <v>500</v>
      </c>
      <c r="B8" s="196">
        <v>91</v>
      </c>
      <c r="C8" s="196">
        <f>(C2*A8)</f>
        <v>2500</v>
      </c>
      <c r="D8" s="196">
        <f>(B8+C8)/A8</f>
        <v>5.182</v>
      </c>
    </row>
    <row r="10" spans="1:9" ht="13.5" thickBot="1">
      <c r="A10" s="191"/>
      <c r="B10" s="191"/>
      <c r="C10" s="191"/>
      <c r="D10" s="191"/>
      <c r="E10" s="191"/>
      <c r="F10" s="191"/>
      <c r="G10" s="191"/>
      <c r="H10" s="191"/>
      <c r="I10" s="191"/>
    </row>
    <row r="11" spans="1:9" ht="13.5" thickTop="1">
      <c r="A11" s="199"/>
      <c r="B11" s="200" t="s">
        <v>832</v>
      </c>
      <c r="C11" s="201"/>
      <c r="D11" s="202"/>
      <c r="E11" s="191"/>
      <c r="F11" s="191"/>
      <c r="G11" s="191"/>
      <c r="H11" s="191"/>
      <c r="I11" s="191"/>
    </row>
    <row r="12" spans="1:9" ht="12.75">
      <c r="A12" s="203"/>
      <c r="B12" s="204"/>
      <c r="C12" s="204"/>
      <c r="D12" s="205"/>
      <c r="E12" s="191"/>
      <c r="F12" s="191"/>
      <c r="G12" s="191"/>
      <c r="H12" s="191"/>
      <c r="I12" s="191"/>
    </row>
    <row r="13" spans="1:9" ht="12.75">
      <c r="A13" s="206" t="s">
        <v>830</v>
      </c>
      <c r="B13" s="207" t="s">
        <v>259</v>
      </c>
      <c r="C13" s="204"/>
      <c r="D13" s="205" t="s">
        <v>831</v>
      </c>
      <c r="E13" s="191"/>
      <c r="F13" s="191"/>
      <c r="G13" s="191"/>
      <c r="H13" s="191"/>
      <c r="I13" s="191"/>
    </row>
    <row r="14" spans="1:9" ht="12.75">
      <c r="A14" s="203">
        <v>100</v>
      </c>
      <c r="B14" s="208">
        <v>3500</v>
      </c>
      <c r="C14" s="204"/>
      <c r="D14" s="209">
        <f>B14/A14</f>
        <v>35</v>
      </c>
      <c r="E14" s="191"/>
      <c r="F14" s="191"/>
      <c r="G14" s="191"/>
      <c r="H14" s="191"/>
      <c r="I14" s="191"/>
    </row>
    <row r="15" spans="1:9" ht="12.75">
      <c r="A15" s="203">
        <v>250</v>
      </c>
      <c r="B15" s="208">
        <v>5200</v>
      </c>
      <c r="C15" s="204"/>
      <c r="D15" s="209">
        <f>B15/A15</f>
        <v>20.8</v>
      </c>
      <c r="E15" s="191"/>
      <c r="F15" s="191"/>
      <c r="G15" s="191"/>
      <c r="H15" s="191"/>
      <c r="I15" s="191"/>
    </row>
    <row r="16" spans="1:9" ht="12.75">
      <c r="A16" s="203">
        <v>500</v>
      </c>
      <c r="B16" s="208">
        <v>10000</v>
      </c>
      <c r="C16" s="204"/>
      <c r="D16" s="209">
        <f>B16/A16</f>
        <v>20</v>
      </c>
      <c r="E16" s="191"/>
      <c r="F16" s="191"/>
      <c r="G16" s="191"/>
      <c r="H16" s="191"/>
      <c r="I16" s="191"/>
    </row>
    <row r="17" spans="1:9" ht="12.75">
      <c r="A17" s="190"/>
      <c r="B17" s="191"/>
      <c r="C17" s="191"/>
      <c r="D17" s="192"/>
      <c r="E17" s="191"/>
      <c r="F17" s="191"/>
      <c r="G17" s="191"/>
      <c r="H17" s="191"/>
      <c r="I17" s="191"/>
    </row>
    <row r="18" spans="1:5" ht="12.75">
      <c r="A18" s="190"/>
      <c r="B18" s="191"/>
      <c r="C18" s="191"/>
      <c r="D18" s="192"/>
      <c r="E18" s="191"/>
    </row>
    <row r="19" spans="1:5" ht="12.75">
      <c r="A19" s="187" t="s">
        <v>833</v>
      </c>
      <c r="B19" s="188"/>
      <c r="C19" s="188"/>
      <c r="D19" s="189"/>
      <c r="E19" s="191"/>
    </row>
    <row r="20" spans="1:5" ht="12.75">
      <c r="A20" s="210" t="s">
        <v>830</v>
      </c>
      <c r="B20" s="191" t="s">
        <v>834</v>
      </c>
      <c r="C20" s="191" t="s">
        <v>835</v>
      </c>
      <c r="D20" s="192" t="s">
        <v>139</v>
      </c>
      <c r="E20" s="191"/>
    </row>
    <row r="21" spans="1:5" ht="12.75">
      <c r="A21" s="211">
        <v>100</v>
      </c>
      <c r="B21" s="212">
        <v>2</v>
      </c>
      <c r="C21" s="213">
        <f>6*A21</f>
        <v>600</v>
      </c>
      <c r="D21" s="214">
        <f>C21*B21</f>
        <v>1200</v>
      </c>
      <c r="E21" s="191"/>
    </row>
    <row r="22" spans="1:5" ht="12.75">
      <c r="A22" s="211">
        <v>250</v>
      </c>
      <c r="B22" s="212">
        <v>2</v>
      </c>
      <c r="C22" s="213">
        <f>6*A22</f>
        <v>1500</v>
      </c>
      <c r="D22" s="214">
        <f>C22*B22</f>
        <v>3000</v>
      </c>
      <c r="E22" s="191"/>
    </row>
    <row r="23" spans="1:5" ht="12.75">
      <c r="A23" s="211">
        <v>500</v>
      </c>
      <c r="B23" s="212">
        <v>2</v>
      </c>
      <c r="C23" s="213">
        <f>6*A23</f>
        <v>3000</v>
      </c>
      <c r="D23" s="214">
        <f>C23*B23</f>
        <v>6000</v>
      </c>
      <c r="E23" s="191"/>
    </row>
    <row r="24" spans="1:5" ht="12.75">
      <c r="A24" s="190"/>
      <c r="B24" s="191"/>
      <c r="C24" s="191"/>
      <c r="D24" s="192"/>
      <c r="E24" s="191"/>
    </row>
    <row r="25" spans="1:5" ht="12.75">
      <c r="A25" s="190"/>
      <c r="B25" s="191"/>
      <c r="C25" s="191"/>
      <c r="D25" s="192"/>
      <c r="E25" s="191"/>
    </row>
    <row r="26" spans="1:9" ht="12.75">
      <c r="A26" s="190"/>
      <c r="B26" s="188" t="s">
        <v>836</v>
      </c>
      <c r="C26" s="188"/>
      <c r="D26" s="189"/>
      <c r="E26" s="191"/>
      <c r="F26" s="191"/>
      <c r="G26" s="191"/>
      <c r="H26" s="191"/>
      <c r="I26" s="191"/>
    </row>
    <row r="27" spans="1:9" ht="12.75">
      <c r="A27" s="215" t="s">
        <v>837</v>
      </c>
      <c r="B27" s="216" t="s">
        <v>838</v>
      </c>
      <c r="C27" s="216" t="s">
        <v>839</v>
      </c>
      <c r="D27" s="217" t="s">
        <v>840</v>
      </c>
      <c r="E27" s="218" t="s">
        <v>841</v>
      </c>
      <c r="F27" s="224" t="s">
        <v>669</v>
      </c>
      <c r="G27" s="191"/>
      <c r="H27" s="191"/>
      <c r="I27" s="191"/>
    </row>
    <row r="28" spans="1:9" ht="12.75">
      <c r="A28" s="190">
        <v>1</v>
      </c>
      <c r="B28" s="212">
        <f>D23</f>
        <v>6000</v>
      </c>
      <c r="C28" s="219">
        <f>B28</f>
        <v>6000</v>
      </c>
      <c r="D28" s="209">
        <v>10000</v>
      </c>
      <c r="E28" s="212">
        <f aca="true" t="shared" si="0" ref="E28:E33">D28/500</f>
        <v>20</v>
      </c>
      <c r="F28" s="226">
        <f aca="true" t="shared" si="1" ref="F28:F33">C28/500</f>
        <v>12</v>
      </c>
      <c r="G28" s="220"/>
      <c r="H28" s="220"/>
      <c r="I28" s="220"/>
    </row>
    <row r="29" spans="1:9" ht="12.75">
      <c r="A29" s="190">
        <v>2</v>
      </c>
      <c r="B29" s="212">
        <f>D23</f>
        <v>6000</v>
      </c>
      <c r="C29" s="219">
        <f>B29+B28</f>
        <v>12000</v>
      </c>
      <c r="D29" s="209">
        <v>10000</v>
      </c>
      <c r="E29" s="212">
        <f t="shared" si="0"/>
        <v>20</v>
      </c>
      <c r="F29" s="225">
        <f t="shared" si="1"/>
        <v>24</v>
      </c>
      <c r="G29" s="191"/>
      <c r="H29" s="191"/>
      <c r="I29" s="191"/>
    </row>
    <row r="30" spans="1:9" ht="12.75">
      <c r="A30" s="190">
        <v>3</v>
      </c>
      <c r="B30" s="212">
        <f>D23</f>
        <v>6000</v>
      </c>
      <c r="C30" s="219">
        <f>B30+B29+B28</f>
        <v>18000</v>
      </c>
      <c r="D30" s="209">
        <v>10000</v>
      </c>
      <c r="E30" s="212">
        <f t="shared" si="0"/>
        <v>20</v>
      </c>
      <c r="F30" s="225">
        <f t="shared" si="1"/>
        <v>36</v>
      </c>
      <c r="G30" s="191"/>
      <c r="H30" s="191"/>
      <c r="I30" s="191"/>
    </row>
    <row r="31" spans="1:9" ht="12.75">
      <c r="A31" s="190">
        <v>4</v>
      </c>
      <c r="B31" s="212">
        <f>D23</f>
        <v>6000</v>
      </c>
      <c r="C31" s="219">
        <f>(B31-(C30*0.3))+C30</f>
        <v>18600</v>
      </c>
      <c r="D31" s="209">
        <v>10000</v>
      </c>
      <c r="E31" s="212">
        <f t="shared" si="0"/>
        <v>20</v>
      </c>
      <c r="F31" s="225">
        <f t="shared" si="1"/>
        <v>37.2</v>
      </c>
      <c r="G31" s="191"/>
      <c r="H31" s="191"/>
      <c r="I31" s="191"/>
    </row>
    <row r="32" spans="1:9" ht="12.75">
      <c r="A32" s="190">
        <v>5</v>
      </c>
      <c r="B32" s="212">
        <f>D23</f>
        <v>6000</v>
      </c>
      <c r="C32" s="219">
        <f>C31+B32</f>
        <v>24600</v>
      </c>
      <c r="D32" s="209">
        <v>10000</v>
      </c>
      <c r="E32" s="212">
        <f t="shared" si="0"/>
        <v>20</v>
      </c>
      <c r="F32" s="225">
        <f t="shared" si="1"/>
        <v>49.2</v>
      </c>
      <c r="G32" s="191"/>
      <c r="H32" s="191"/>
      <c r="I32" s="191"/>
    </row>
    <row r="33" spans="1:9" ht="12.75">
      <c r="A33" s="190">
        <v>6</v>
      </c>
      <c r="B33" s="212">
        <f>D23</f>
        <v>6000</v>
      </c>
      <c r="C33" s="219">
        <f>C32+B33</f>
        <v>30600</v>
      </c>
      <c r="D33" s="209">
        <v>10000</v>
      </c>
      <c r="E33" s="212">
        <f t="shared" si="0"/>
        <v>20</v>
      </c>
      <c r="F33" s="225">
        <f t="shared" si="1"/>
        <v>61.2</v>
      </c>
      <c r="G33" s="191"/>
      <c r="H33" s="191"/>
      <c r="I33" s="191"/>
    </row>
    <row r="34" spans="1:9" ht="12.75">
      <c r="A34" s="190"/>
      <c r="B34" s="191"/>
      <c r="C34" s="191"/>
      <c r="D34" s="192"/>
      <c r="E34" s="191"/>
      <c r="F34" s="191"/>
      <c r="G34" s="191"/>
      <c r="H34" s="191"/>
      <c r="I34" s="191"/>
    </row>
    <row r="35" spans="1:9" ht="12.75">
      <c r="A35" s="190"/>
      <c r="B35" s="188" t="s">
        <v>842</v>
      </c>
      <c r="C35" s="188"/>
      <c r="D35" s="189"/>
      <c r="E35" s="191"/>
      <c r="F35" s="191"/>
      <c r="G35" s="191"/>
      <c r="H35" s="191"/>
      <c r="I35" s="191"/>
    </row>
    <row r="36" spans="1:9" ht="12.75">
      <c r="A36" s="215" t="s">
        <v>837</v>
      </c>
      <c r="B36" s="216" t="s">
        <v>838</v>
      </c>
      <c r="C36" s="216" t="s">
        <v>839</v>
      </c>
      <c r="D36" s="217" t="s">
        <v>840</v>
      </c>
      <c r="E36" s="218" t="s">
        <v>841</v>
      </c>
      <c r="F36" s="191"/>
      <c r="G36" s="191"/>
      <c r="H36" s="191"/>
      <c r="I36" s="191"/>
    </row>
    <row r="37" spans="1:9" ht="12.75">
      <c r="A37" s="190">
        <v>1</v>
      </c>
      <c r="B37" s="212">
        <f>D22</f>
        <v>3000</v>
      </c>
      <c r="C37" s="219">
        <f>B37</f>
        <v>3000</v>
      </c>
      <c r="D37" s="209">
        <v>5200</v>
      </c>
      <c r="E37" s="212">
        <f aca="true" t="shared" si="2" ref="E37:E42">D37/250</f>
        <v>20.8</v>
      </c>
      <c r="F37" s="226">
        <f aca="true" t="shared" si="3" ref="F37:F42">C37/250</f>
        <v>12</v>
      </c>
      <c r="G37" s="191"/>
      <c r="H37" s="191"/>
      <c r="I37" s="191"/>
    </row>
    <row r="38" spans="1:9" ht="12.75">
      <c r="A38" s="190">
        <v>2</v>
      </c>
      <c r="B38" s="212">
        <f>D22</f>
        <v>3000</v>
      </c>
      <c r="C38" s="219">
        <f>B38+B37</f>
        <v>6000</v>
      </c>
      <c r="D38" s="209">
        <v>5200</v>
      </c>
      <c r="E38" s="212">
        <f t="shared" si="2"/>
        <v>20.8</v>
      </c>
      <c r="F38" s="226">
        <f t="shared" si="3"/>
        <v>24</v>
      </c>
      <c r="G38" s="191"/>
      <c r="H38" s="191"/>
      <c r="I38" s="191"/>
    </row>
    <row r="39" spans="1:6" ht="12.75">
      <c r="A39" s="190">
        <v>3</v>
      </c>
      <c r="B39" s="212">
        <f>D22</f>
        <v>3000</v>
      </c>
      <c r="C39" s="219">
        <f>B39+B38+B37</f>
        <v>9000</v>
      </c>
      <c r="D39" s="209">
        <v>5200</v>
      </c>
      <c r="E39" s="212">
        <f t="shared" si="2"/>
        <v>20.8</v>
      </c>
      <c r="F39" s="226">
        <f t="shared" si="3"/>
        <v>36</v>
      </c>
    </row>
    <row r="40" spans="1:6" ht="12.75">
      <c r="A40" s="190">
        <v>4</v>
      </c>
      <c r="B40" s="212">
        <f>D22</f>
        <v>3000</v>
      </c>
      <c r="C40" s="219">
        <f>(B40-(C39*0.3))+C39</f>
        <v>9300</v>
      </c>
      <c r="D40" s="209">
        <v>5200</v>
      </c>
      <c r="E40" s="212">
        <f t="shared" si="2"/>
        <v>20.8</v>
      </c>
      <c r="F40" s="226">
        <f t="shared" si="3"/>
        <v>37.2</v>
      </c>
    </row>
    <row r="41" spans="1:6" ht="12.75">
      <c r="A41" s="190">
        <v>5</v>
      </c>
      <c r="B41" s="212">
        <f>D22</f>
        <v>3000</v>
      </c>
      <c r="C41" s="219">
        <f>C40+B41</f>
        <v>12300</v>
      </c>
      <c r="D41" s="209">
        <v>5200</v>
      </c>
      <c r="E41" s="212">
        <f t="shared" si="2"/>
        <v>20.8</v>
      </c>
      <c r="F41" s="226">
        <f t="shared" si="3"/>
        <v>49.2</v>
      </c>
    </row>
    <row r="42" spans="1:6" ht="12.75">
      <c r="A42" s="190">
        <v>6</v>
      </c>
      <c r="B42" s="212">
        <f>D22</f>
        <v>3000</v>
      </c>
      <c r="C42" s="219">
        <f>C41+B42</f>
        <v>15300</v>
      </c>
      <c r="D42" s="209">
        <v>5200</v>
      </c>
      <c r="E42" s="212">
        <f t="shared" si="2"/>
        <v>20.8</v>
      </c>
      <c r="F42" s="226">
        <f t="shared" si="3"/>
        <v>61.2</v>
      </c>
    </row>
    <row r="43" spans="1:4" ht="12.75">
      <c r="A43" s="190"/>
      <c r="B43" s="191"/>
      <c r="C43" s="191"/>
      <c r="D43" s="192"/>
    </row>
    <row r="44" spans="1:4" ht="12.75">
      <c r="A44" s="190"/>
      <c r="B44" s="188" t="s">
        <v>843</v>
      </c>
      <c r="C44" s="188"/>
      <c r="D44" s="189"/>
    </row>
    <row r="45" spans="1:5" ht="12.75">
      <c r="A45" s="215" t="s">
        <v>837</v>
      </c>
      <c r="B45" s="216" t="s">
        <v>838</v>
      </c>
      <c r="C45" s="216" t="s">
        <v>839</v>
      </c>
      <c r="D45" s="217" t="s">
        <v>840</v>
      </c>
      <c r="E45" s="218" t="s">
        <v>841</v>
      </c>
    </row>
    <row r="46" spans="1:6" ht="12.75">
      <c r="A46" s="190">
        <v>1</v>
      </c>
      <c r="B46" s="212">
        <f>D21</f>
        <v>1200</v>
      </c>
      <c r="C46" s="219">
        <f>B46</f>
        <v>1200</v>
      </c>
      <c r="D46" s="209">
        <v>3500</v>
      </c>
      <c r="E46" s="212">
        <f>D46/100</f>
        <v>35</v>
      </c>
      <c r="F46" s="226">
        <f>C46/100</f>
        <v>12</v>
      </c>
    </row>
    <row r="47" spans="1:6" ht="12.75">
      <c r="A47" s="190">
        <v>2</v>
      </c>
      <c r="B47" s="212">
        <f>D21</f>
        <v>1200</v>
      </c>
      <c r="C47" s="219">
        <f>B47+B46</f>
        <v>2400</v>
      </c>
      <c r="D47" s="209">
        <v>3500</v>
      </c>
      <c r="E47" s="212">
        <f aca="true" t="shared" si="4" ref="E47:E57">D47/100</f>
        <v>35</v>
      </c>
      <c r="F47" s="226">
        <f aca="true" t="shared" si="5" ref="F47:F57">C47/100</f>
        <v>24</v>
      </c>
    </row>
    <row r="48" spans="1:6" ht="12.75">
      <c r="A48" s="190">
        <v>3</v>
      </c>
      <c r="B48" s="212">
        <f>D21</f>
        <v>1200</v>
      </c>
      <c r="C48" s="219">
        <f>B48+B47+B46</f>
        <v>3600</v>
      </c>
      <c r="D48" s="209">
        <v>3500</v>
      </c>
      <c r="E48" s="212">
        <f t="shared" si="4"/>
        <v>35</v>
      </c>
      <c r="F48" s="226">
        <f t="shared" si="5"/>
        <v>36</v>
      </c>
    </row>
    <row r="49" spans="1:6" ht="12.75">
      <c r="A49" s="190">
        <v>4</v>
      </c>
      <c r="B49" s="212">
        <f>D21</f>
        <v>1200</v>
      </c>
      <c r="C49" s="219">
        <f>(B49-(C48*0.3))+C48</f>
        <v>3720</v>
      </c>
      <c r="D49" s="209">
        <v>3500</v>
      </c>
      <c r="E49" s="212">
        <f t="shared" si="4"/>
        <v>35</v>
      </c>
      <c r="F49" s="226">
        <f t="shared" si="5"/>
        <v>37.2</v>
      </c>
    </row>
    <row r="50" spans="1:6" ht="12.75">
      <c r="A50" s="190">
        <v>5</v>
      </c>
      <c r="B50" s="212">
        <f>D21</f>
        <v>1200</v>
      </c>
      <c r="C50" s="219">
        <f>C49+B50</f>
        <v>4920</v>
      </c>
      <c r="D50" s="209">
        <v>3500</v>
      </c>
      <c r="E50" s="212">
        <f t="shared" si="4"/>
        <v>35</v>
      </c>
      <c r="F50" s="226">
        <f t="shared" si="5"/>
        <v>49.2</v>
      </c>
    </row>
    <row r="51" spans="1:6" ht="12.75">
      <c r="A51" s="190">
        <v>6</v>
      </c>
      <c r="B51" s="212">
        <f>D21</f>
        <v>1200</v>
      </c>
      <c r="C51" s="219">
        <f>C50+B51</f>
        <v>6120</v>
      </c>
      <c r="D51" s="209">
        <v>3500</v>
      </c>
      <c r="E51" s="212">
        <f t="shared" si="4"/>
        <v>35</v>
      </c>
      <c r="F51" s="226">
        <f t="shared" si="5"/>
        <v>61.2</v>
      </c>
    </row>
    <row r="52" spans="1:6" ht="12.75">
      <c r="A52" s="211">
        <v>7</v>
      </c>
      <c r="B52" s="212">
        <f>D21</f>
        <v>1200</v>
      </c>
      <c r="C52" s="219">
        <f>(B52-(C48*0.3))+C51</f>
        <v>6240</v>
      </c>
      <c r="D52" s="209">
        <v>3500</v>
      </c>
      <c r="E52" s="212">
        <f t="shared" si="4"/>
        <v>35</v>
      </c>
      <c r="F52" s="226">
        <f t="shared" si="5"/>
        <v>62.4</v>
      </c>
    </row>
    <row r="53" spans="1:6" ht="12.75">
      <c r="A53" s="211">
        <v>8</v>
      </c>
      <c r="B53" s="212">
        <f>D21</f>
        <v>1200</v>
      </c>
      <c r="C53" s="219">
        <f>B53+C52</f>
        <v>7440</v>
      </c>
      <c r="D53" s="209">
        <v>3500</v>
      </c>
      <c r="E53" s="212">
        <f t="shared" si="4"/>
        <v>35</v>
      </c>
      <c r="F53" s="226">
        <f t="shared" si="5"/>
        <v>74.4</v>
      </c>
    </row>
    <row r="54" spans="1:6" ht="12.75">
      <c r="A54" s="211">
        <v>9</v>
      </c>
      <c r="B54" s="212">
        <f>D21</f>
        <v>1200</v>
      </c>
      <c r="C54" s="219">
        <f>B54+C53</f>
        <v>8640</v>
      </c>
      <c r="D54" s="209">
        <v>3500</v>
      </c>
      <c r="E54" s="212">
        <f t="shared" si="4"/>
        <v>35</v>
      </c>
      <c r="F54" s="226">
        <f t="shared" si="5"/>
        <v>86.4</v>
      </c>
    </row>
    <row r="55" spans="1:6" ht="12.75">
      <c r="A55" s="211">
        <v>10</v>
      </c>
      <c r="B55" s="212">
        <f>D21</f>
        <v>1200</v>
      </c>
      <c r="C55" s="219">
        <f>(B55-(C48*0.3))+C54</f>
        <v>8760</v>
      </c>
      <c r="D55" s="209">
        <v>3500</v>
      </c>
      <c r="E55" s="212">
        <f t="shared" si="4"/>
        <v>35</v>
      </c>
      <c r="F55" s="226">
        <f t="shared" si="5"/>
        <v>87.6</v>
      </c>
    </row>
    <row r="56" spans="1:6" ht="12.75">
      <c r="A56" s="211">
        <v>11</v>
      </c>
      <c r="B56" s="212">
        <f>D21</f>
        <v>1200</v>
      </c>
      <c r="C56" s="219">
        <f>B56+C55</f>
        <v>9960</v>
      </c>
      <c r="D56" s="209">
        <v>3500</v>
      </c>
      <c r="E56" s="212">
        <f t="shared" si="4"/>
        <v>35</v>
      </c>
      <c r="F56" s="226">
        <f t="shared" si="5"/>
        <v>99.6</v>
      </c>
    </row>
    <row r="57" spans="1:6" ht="13.5" thickBot="1">
      <c r="A57" s="221">
        <v>12</v>
      </c>
      <c r="B57" s="222">
        <f>D21</f>
        <v>1200</v>
      </c>
      <c r="C57" s="223">
        <f>B57+C56</f>
        <v>11160</v>
      </c>
      <c r="D57" s="209">
        <v>3500</v>
      </c>
      <c r="E57" s="212">
        <f t="shared" si="4"/>
        <v>35</v>
      </c>
      <c r="F57" s="226">
        <f t="shared" si="5"/>
        <v>111.6</v>
      </c>
    </row>
    <row r="58" ht="13.5" thickTop="1"/>
    <row r="60" ht="12.75">
      <c r="A60" t="s">
        <v>844</v>
      </c>
    </row>
    <row r="61" ht="12.75">
      <c r="A61" t="s">
        <v>845</v>
      </c>
    </row>
    <row r="62" spans="3:4" ht="12.75">
      <c r="C62">
        <f>Novellnodesperschool</f>
        <v>298647.6876666667</v>
      </c>
      <c r="D62" t="s">
        <v>846</v>
      </c>
    </row>
    <row r="63" ht="12.75">
      <c r="A63" t="s">
        <v>847</v>
      </c>
    </row>
    <row r="65" spans="2:6" ht="12.75">
      <c r="B65" t="s">
        <v>848</v>
      </c>
      <c r="C65" s="228">
        <v>35</v>
      </c>
      <c r="D65" t="s">
        <v>849</v>
      </c>
      <c r="F65" s="229" t="s">
        <v>25</v>
      </c>
    </row>
    <row r="66" spans="2:6" ht="12.75">
      <c r="B66" t="s">
        <v>850</v>
      </c>
      <c r="C66" s="229">
        <v>36.5</v>
      </c>
      <c r="D66" t="s">
        <v>851</v>
      </c>
      <c r="F66" s="229" t="s">
        <v>25</v>
      </c>
    </row>
  </sheetData>
  <sheetProtection/>
  <printOptions/>
  <pageMargins left="0.53" right="0.27" top="1.23" bottom="0.55" header="0.36" footer="0.17"/>
  <pageSetup horizontalDpi="600" verticalDpi="600" orientation="landscape" scale="85" r:id="rId1"/>
  <headerFooter alignWithMargins="0">
    <oddHeader>&amp;L &amp;C&amp;"MS Sans Serif,Bold"&amp;12Master Plan for Education Technology
2001-2006
NOS Data</oddHeader>
  </headerFooter>
</worksheet>
</file>

<file path=xl/worksheets/sheet14.xml><?xml version="1.0" encoding="utf-8"?>
<worksheet xmlns="http://schemas.openxmlformats.org/spreadsheetml/2006/main" xmlns:r="http://schemas.openxmlformats.org/officeDocument/2006/relationships">
  <dimension ref="A1:DL19"/>
  <sheetViews>
    <sheetView zoomScalePageLayoutView="0" workbookViewId="0" topLeftCell="BY1">
      <selection activeCell="CI20" sqref="CI20"/>
    </sheetView>
  </sheetViews>
  <sheetFormatPr defaultColWidth="12.7109375" defaultRowHeight="12.75"/>
  <cols>
    <col min="1" max="2" width="12.7109375" style="1200" customWidth="1"/>
    <col min="3" max="3" width="14.00390625" style="1200" customWidth="1"/>
    <col min="4" max="48" width="12.7109375" style="1200" customWidth="1"/>
    <col min="49" max="49" width="15.140625" style="1200" customWidth="1"/>
    <col min="50" max="76" width="12.7109375" style="1200" customWidth="1"/>
    <col min="77" max="77" width="14.00390625" style="1200" customWidth="1"/>
    <col min="78" max="113" width="12.7109375" style="1200" customWidth="1"/>
    <col min="114" max="114" width="14.140625" style="1200" customWidth="1"/>
    <col min="115" max="115" width="14.8515625" style="1200" customWidth="1"/>
    <col min="116" max="116" width="15.00390625" style="1200" customWidth="1"/>
    <col min="117" max="16384" width="12.7109375" style="1200" customWidth="1"/>
  </cols>
  <sheetData>
    <row r="1" spans="2:116" s="1181" customFormat="1" ht="90">
      <c r="B1" s="1182" t="s">
        <v>1047</v>
      </c>
      <c r="C1" s="1181" t="s">
        <v>1048</v>
      </c>
      <c r="D1" s="1182" t="s">
        <v>1049</v>
      </c>
      <c r="E1" s="1181" t="s">
        <v>1050</v>
      </c>
      <c r="F1" s="1182" t="s">
        <v>1051</v>
      </c>
      <c r="G1" s="1181" t="s">
        <v>1052</v>
      </c>
      <c r="H1" s="1182" t="s">
        <v>1053</v>
      </c>
      <c r="I1" s="1181" t="s">
        <v>1054</v>
      </c>
      <c r="J1" s="1182" t="s">
        <v>1055</v>
      </c>
      <c r="K1" s="1181" t="s">
        <v>1056</v>
      </c>
      <c r="L1" s="1182" t="s">
        <v>1057</v>
      </c>
      <c r="M1" s="1181" t="s">
        <v>1058</v>
      </c>
      <c r="N1" s="1182" t="s">
        <v>1059</v>
      </c>
      <c r="O1" s="1181" t="s">
        <v>1060</v>
      </c>
      <c r="P1" s="1182" t="s">
        <v>1061</v>
      </c>
      <c r="Q1" s="1181" t="s">
        <v>1062</v>
      </c>
      <c r="R1" s="1182" t="s">
        <v>1063</v>
      </c>
      <c r="S1" s="1181" t="s">
        <v>1064</v>
      </c>
      <c r="T1" s="1182" t="s">
        <v>1065</v>
      </c>
      <c r="U1" s="1181" t="s">
        <v>1066</v>
      </c>
      <c r="V1" s="1182" t="s">
        <v>1067</v>
      </c>
      <c r="W1" s="1181" t="s">
        <v>1068</v>
      </c>
      <c r="X1" s="1182" t="s">
        <v>1069</v>
      </c>
      <c r="Y1" s="1181" t="s">
        <v>1070</v>
      </c>
      <c r="Z1" s="1182" t="s">
        <v>1071</v>
      </c>
      <c r="AA1" s="1181" t="s">
        <v>1072</v>
      </c>
      <c r="AB1" s="1182" t="s">
        <v>1073</v>
      </c>
      <c r="AC1" s="1181" t="s">
        <v>1074</v>
      </c>
      <c r="AD1" s="1182" t="s">
        <v>1075</v>
      </c>
      <c r="AE1" s="1181" t="s">
        <v>1076</v>
      </c>
      <c r="AF1" s="1182" t="s">
        <v>1077</v>
      </c>
      <c r="AG1" s="1181" t="s">
        <v>1078</v>
      </c>
      <c r="AH1" s="1182" t="s">
        <v>1079</v>
      </c>
      <c r="AI1" s="1181" t="s">
        <v>1080</v>
      </c>
      <c r="AJ1" s="1182" t="s">
        <v>1081</v>
      </c>
      <c r="AK1" s="1181" t="s">
        <v>1082</v>
      </c>
      <c r="AL1" s="1182" t="s">
        <v>1083</v>
      </c>
      <c r="AM1" s="1181" t="s">
        <v>1084</v>
      </c>
      <c r="AN1" s="1182" t="s">
        <v>1085</v>
      </c>
      <c r="AO1" s="1181" t="s">
        <v>1086</v>
      </c>
      <c r="AP1" s="1182" t="s">
        <v>1087</v>
      </c>
      <c r="AQ1" s="1181" t="s">
        <v>1088</v>
      </c>
      <c r="AR1" s="1182" t="s">
        <v>1089</v>
      </c>
      <c r="AS1" s="1181" t="s">
        <v>1090</v>
      </c>
      <c r="AT1" s="1182" t="s">
        <v>1091</v>
      </c>
      <c r="AU1" s="1181" t="s">
        <v>1092</v>
      </c>
      <c r="AV1" s="1182" t="s">
        <v>1093</v>
      </c>
      <c r="AW1" s="1181" t="s">
        <v>1094</v>
      </c>
      <c r="AX1" s="1182" t="s">
        <v>1095</v>
      </c>
      <c r="AY1" s="1181" t="s">
        <v>1096</v>
      </c>
      <c r="AZ1" s="1182" t="s">
        <v>1097</v>
      </c>
      <c r="BA1" s="1181" t="s">
        <v>1098</v>
      </c>
      <c r="BB1" s="1182" t="s">
        <v>1099</v>
      </c>
      <c r="BC1" s="1181" t="s">
        <v>1100</v>
      </c>
      <c r="BD1" s="1182" t="s">
        <v>1101</v>
      </c>
      <c r="BE1" s="1181" t="s">
        <v>1102</v>
      </c>
      <c r="BF1" s="1182" t="s">
        <v>1103</v>
      </c>
      <c r="BG1" s="1181" t="s">
        <v>1104</v>
      </c>
      <c r="BH1" s="1182" t="s">
        <v>1105</v>
      </c>
      <c r="BI1" s="1181" t="s">
        <v>1106</v>
      </c>
      <c r="BJ1" s="1182" t="s">
        <v>1107</v>
      </c>
      <c r="BK1" s="1181" t="s">
        <v>1108</v>
      </c>
      <c r="BL1" s="1182" t="s">
        <v>1109</v>
      </c>
      <c r="BM1" s="1181" t="s">
        <v>1110</v>
      </c>
      <c r="BN1" s="1182" t="s">
        <v>1111</v>
      </c>
      <c r="BO1" s="1181" t="s">
        <v>1112</v>
      </c>
      <c r="BP1" s="1182" t="s">
        <v>1113</v>
      </c>
      <c r="BQ1" s="1181" t="s">
        <v>1114</v>
      </c>
      <c r="BR1" s="1182" t="s">
        <v>1115</v>
      </c>
      <c r="BS1" s="1181" t="s">
        <v>1116</v>
      </c>
      <c r="BT1" s="1182" t="s">
        <v>1117</v>
      </c>
      <c r="BU1" s="1181" t="s">
        <v>1118</v>
      </c>
      <c r="BV1" s="1182" t="s">
        <v>1119</v>
      </c>
      <c r="BW1" s="1181" t="s">
        <v>1120</v>
      </c>
      <c r="BX1" s="1182" t="s">
        <v>1121</v>
      </c>
      <c r="BY1" s="1181" t="s">
        <v>1122</v>
      </c>
      <c r="BZ1" s="1182" t="s">
        <v>1123</v>
      </c>
      <c r="CA1" s="1181" t="s">
        <v>1124</v>
      </c>
      <c r="CB1" s="1182" t="s">
        <v>1125</v>
      </c>
      <c r="CC1" s="1181" t="s">
        <v>1126</v>
      </c>
      <c r="CD1" s="1182" t="s">
        <v>1127</v>
      </c>
      <c r="CE1" s="1181" t="s">
        <v>1128</v>
      </c>
      <c r="CF1" s="1182" t="s">
        <v>1129</v>
      </c>
      <c r="CG1" s="1181" t="s">
        <v>1130</v>
      </c>
      <c r="CH1" s="1182" t="s">
        <v>1131</v>
      </c>
      <c r="CI1" s="1181" t="s">
        <v>1132</v>
      </c>
      <c r="CJ1" s="1182" t="s">
        <v>1133</v>
      </c>
      <c r="CK1" s="1181" t="s">
        <v>1134</v>
      </c>
      <c r="CL1" s="1182" t="s">
        <v>1135</v>
      </c>
      <c r="CM1" s="1181" t="s">
        <v>1136</v>
      </c>
      <c r="CN1" s="1182" t="s">
        <v>1137</v>
      </c>
      <c r="CO1" s="1181" t="s">
        <v>1138</v>
      </c>
      <c r="CP1" s="1182" t="s">
        <v>1139</v>
      </c>
      <c r="CQ1" s="1181" t="s">
        <v>1140</v>
      </c>
      <c r="CR1" s="1182" t="s">
        <v>1141</v>
      </c>
      <c r="CS1" s="1181" t="s">
        <v>1142</v>
      </c>
      <c r="CT1" s="1182" t="s">
        <v>1143</v>
      </c>
      <c r="CU1" s="1181" t="s">
        <v>1144</v>
      </c>
      <c r="CV1" s="1182" t="s">
        <v>1145</v>
      </c>
      <c r="CW1" s="1181" t="s">
        <v>1146</v>
      </c>
      <c r="CX1" s="1182" t="s">
        <v>1147</v>
      </c>
      <c r="CY1" s="1181" t="s">
        <v>1148</v>
      </c>
      <c r="CZ1" s="1182" t="s">
        <v>1149</v>
      </c>
      <c r="DA1" s="1181" t="s">
        <v>1150</v>
      </c>
      <c r="DB1" s="1182" t="s">
        <v>1151</v>
      </c>
      <c r="DC1" s="1181" t="s">
        <v>1152</v>
      </c>
      <c r="DD1" s="1182" t="s">
        <v>1153</v>
      </c>
      <c r="DE1" s="1181" t="s">
        <v>1153</v>
      </c>
      <c r="DF1" s="1182" t="s">
        <v>1154</v>
      </c>
      <c r="DG1" s="1181" t="s">
        <v>1155</v>
      </c>
      <c r="DH1" s="1182" t="s">
        <v>1156</v>
      </c>
      <c r="DI1" s="1181" t="s">
        <v>1157</v>
      </c>
      <c r="DJ1" s="1183" t="s">
        <v>1158</v>
      </c>
      <c r="DK1" s="1181" t="s">
        <v>1159</v>
      </c>
      <c r="DL1" s="1181" t="s">
        <v>1160</v>
      </c>
    </row>
    <row r="2" spans="2:116" s="1184" customFormat="1" ht="102" customHeight="1">
      <c r="B2" s="1185" t="s">
        <v>1161</v>
      </c>
      <c r="C2" s="1184" t="s">
        <v>1161</v>
      </c>
      <c r="D2" s="1185" t="s">
        <v>1162</v>
      </c>
      <c r="E2" s="1184" t="s">
        <v>1162</v>
      </c>
      <c r="F2" s="1185" t="s">
        <v>1163</v>
      </c>
      <c r="G2" s="1184" t="s">
        <v>1163</v>
      </c>
      <c r="H2" s="1185" t="s">
        <v>1164</v>
      </c>
      <c r="I2" s="1184" t="s">
        <v>1164</v>
      </c>
      <c r="J2" s="1186" t="s">
        <v>1165</v>
      </c>
      <c r="K2" s="1187" t="s">
        <v>1165</v>
      </c>
      <c r="L2" s="1185" t="s">
        <v>1166</v>
      </c>
      <c r="M2" s="1184" t="s">
        <v>1166</v>
      </c>
      <c r="N2" s="1185" t="s">
        <v>1167</v>
      </c>
      <c r="O2" s="1184" t="s">
        <v>1167</v>
      </c>
      <c r="P2" s="1185" t="s">
        <v>1168</v>
      </c>
      <c r="Q2" s="1184" t="s">
        <v>1168</v>
      </c>
      <c r="R2" s="1185" t="s">
        <v>1169</v>
      </c>
      <c r="S2" s="1184" t="s">
        <v>1169</v>
      </c>
      <c r="T2" s="1185" t="s">
        <v>1170</v>
      </c>
      <c r="U2" s="1184" t="s">
        <v>1170</v>
      </c>
      <c r="V2" s="1185" t="s">
        <v>1171</v>
      </c>
      <c r="W2" s="1184" t="s">
        <v>1171</v>
      </c>
      <c r="X2" s="1185" t="s">
        <v>1172</v>
      </c>
      <c r="Y2" s="1184" t="s">
        <v>1172</v>
      </c>
      <c r="Z2" s="1185" t="s">
        <v>1173</v>
      </c>
      <c r="AA2" s="1184" t="s">
        <v>1173</v>
      </c>
      <c r="AB2" s="1185" t="s">
        <v>1174</v>
      </c>
      <c r="AC2" s="1184" t="s">
        <v>1174</v>
      </c>
      <c r="AD2" s="1185" t="s">
        <v>1175</v>
      </c>
      <c r="AE2" s="1184" t="s">
        <v>1175</v>
      </c>
      <c r="AF2" s="1185" t="s">
        <v>1176</v>
      </c>
      <c r="AG2" s="1184" t="s">
        <v>1176</v>
      </c>
      <c r="AH2" s="1185" t="s">
        <v>1177</v>
      </c>
      <c r="AI2" s="1184" t="s">
        <v>1177</v>
      </c>
      <c r="AJ2" s="1185" t="s">
        <v>1178</v>
      </c>
      <c r="AK2" s="1184" t="s">
        <v>1178</v>
      </c>
      <c r="AL2" s="1185" t="s">
        <v>1179</v>
      </c>
      <c r="AM2" s="1184" t="s">
        <v>1179</v>
      </c>
      <c r="AN2" s="1185" t="s">
        <v>1180</v>
      </c>
      <c r="AO2" s="1184" t="s">
        <v>1180</v>
      </c>
      <c r="AP2" s="1185" t="s">
        <v>1181</v>
      </c>
      <c r="AQ2" s="1184" t="s">
        <v>1181</v>
      </c>
      <c r="AR2" s="1186" t="s">
        <v>1182</v>
      </c>
      <c r="AS2" s="1184" t="s">
        <v>1182</v>
      </c>
      <c r="AT2" s="1185" t="s">
        <v>1183</v>
      </c>
      <c r="AU2" s="1184" t="s">
        <v>1183</v>
      </c>
      <c r="AV2" s="1185" t="s">
        <v>1184</v>
      </c>
      <c r="AW2" s="1184" t="s">
        <v>1184</v>
      </c>
      <c r="AX2" s="1185" t="s">
        <v>1185</v>
      </c>
      <c r="AY2" s="1184" t="s">
        <v>1185</v>
      </c>
      <c r="AZ2" s="1185" t="s">
        <v>1186</v>
      </c>
      <c r="BA2" s="1184" t="s">
        <v>1186</v>
      </c>
      <c r="BB2" s="1185" t="s">
        <v>1187</v>
      </c>
      <c r="BC2" s="1184" t="s">
        <v>1187</v>
      </c>
      <c r="BD2" s="1185" t="s">
        <v>1188</v>
      </c>
      <c r="BE2" s="1184" t="s">
        <v>1188</v>
      </c>
      <c r="BF2" s="1185" t="s">
        <v>1189</v>
      </c>
      <c r="BG2" s="1184" t="s">
        <v>1189</v>
      </c>
      <c r="BH2" s="1185" t="s">
        <v>1190</v>
      </c>
      <c r="BI2" s="1184" t="s">
        <v>1190</v>
      </c>
      <c r="BJ2" s="1185" t="s">
        <v>1191</v>
      </c>
      <c r="BK2" s="1184" t="s">
        <v>1191</v>
      </c>
      <c r="BL2" s="1185" t="s">
        <v>1192</v>
      </c>
      <c r="BM2" s="1184" t="s">
        <v>1192</v>
      </c>
      <c r="BN2" s="1185" t="s">
        <v>1193</v>
      </c>
      <c r="BO2" s="1184" t="s">
        <v>1193</v>
      </c>
      <c r="BP2" s="1185" t="s">
        <v>1194</v>
      </c>
      <c r="BQ2" s="1184" t="s">
        <v>1194</v>
      </c>
      <c r="BR2" s="1185" t="s">
        <v>1195</v>
      </c>
      <c r="BS2" s="1184" t="s">
        <v>1195</v>
      </c>
      <c r="BT2" s="1185" t="s">
        <v>1196</v>
      </c>
      <c r="BU2" s="1184" t="s">
        <v>1196</v>
      </c>
      <c r="BV2" s="1185" t="s">
        <v>1197</v>
      </c>
      <c r="BW2" s="1184" t="s">
        <v>1197</v>
      </c>
      <c r="BX2" s="1185" t="s">
        <v>1198</v>
      </c>
      <c r="BY2" s="1184" t="s">
        <v>1198</v>
      </c>
      <c r="BZ2" s="1185" t="s">
        <v>1199</v>
      </c>
      <c r="CA2" s="1184" t="s">
        <v>1199</v>
      </c>
      <c r="CB2" s="1185" t="s">
        <v>1200</v>
      </c>
      <c r="CC2" s="1184" t="s">
        <v>1200</v>
      </c>
      <c r="CD2" s="1185" t="s">
        <v>1201</v>
      </c>
      <c r="CE2" s="1184" t="s">
        <v>1201</v>
      </c>
      <c r="CF2" s="1185" t="s">
        <v>1202</v>
      </c>
      <c r="CG2" s="1184" t="s">
        <v>1202</v>
      </c>
      <c r="CH2" s="1185" t="s">
        <v>1203</v>
      </c>
      <c r="CI2" s="1184" t="s">
        <v>1203</v>
      </c>
      <c r="CJ2" s="1185" t="s">
        <v>1204</v>
      </c>
      <c r="CK2" s="1184" t="s">
        <v>1204</v>
      </c>
      <c r="CL2" s="1185" t="s">
        <v>1205</v>
      </c>
      <c r="CM2" s="1184" t="s">
        <v>1205</v>
      </c>
      <c r="CN2" s="1185" t="s">
        <v>1206</v>
      </c>
      <c r="CO2" s="1184" t="s">
        <v>1207</v>
      </c>
      <c r="CP2" s="1185" t="s">
        <v>1208</v>
      </c>
      <c r="CQ2" s="1184" t="s">
        <v>1208</v>
      </c>
      <c r="CR2" s="1185" t="s">
        <v>1209</v>
      </c>
      <c r="CS2" s="1184" t="s">
        <v>1209</v>
      </c>
      <c r="CT2" s="1185" t="s">
        <v>1210</v>
      </c>
      <c r="CU2" s="1184" t="s">
        <v>1210</v>
      </c>
      <c r="CV2" s="1185" t="s">
        <v>1211</v>
      </c>
      <c r="CW2" s="1184" t="s">
        <v>1211</v>
      </c>
      <c r="CX2" s="1185" t="s">
        <v>1212</v>
      </c>
      <c r="CY2" s="1184" t="s">
        <v>1212</v>
      </c>
      <c r="CZ2" s="1185" t="s">
        <v>1213</v>
      </c>
      <c r="DA2" s="1184" t="s">
        <v>1213</v>
      </c>
      <c r="DB2" s="1185" t="s">
        <v>1214</v>
      </c>
      <c r="DC2" s="1184" t="s">
        <v>1214</v>
      </c>
      <c r="DD2" s="1185" t="s">
        <v>1215</v>
      </c>
      <c r="DE2" s="1184" t="s">
        <v>1215</v>
      </c>
      <c r="DF2" s="1185" t="s">
        <v>1216</v>
      </c>
      <c r="DG2" s="1184" t="s">
        <v>1216</v>
      </c>
      <c r="DH2" s="1185" t="s">
        <v>1217</v>
      </c>
      <c r="DI2" s="1184" t="s">
        <v>1217</v>
      </c>
      <c r="DJ2" s="1188"/>
      <c r="DL2" s="1189"/>
    </row>
    <row r="3" spans="1:116" s="1190" customFormat="1" ht="15" customHeight="1">
      <c r="A3" s="1190" t="s">
        <v>1218</v>
      </c>
      <c r="B3" s="1190">
        <v>4809789.979999999</v>
      </c>
      <c r="C3" s="1190">
        <v>17628197.890000004</v>
      </c>
      <c r="D3" s="1190">
        <v>7443.12</v>
      </c>
      <c r="E3" s="1190">
        <v>411850.7199999999</v>
      </c>
      <c r="F3" s="1190">
        <v>10881.14</v>
      </c>
      <c r="G3" s="1190">
        <v>312278.97</v>
      </c>
      <c r="H3" s="1190">
        <v>3832586.2</v>
      </c>
      <c r="I3" s="1190">
        <v>5293808.940000002</v>
      </c>
      <c r="J3" s="1190">
        <v>64925.03</v>
      </c>
      <c r="K3" s="1190">
        <v>690838.0199999999</v>
      </c>
      <c r="L3" s="1190">
        <v>78946.42</v>
      </c>
      <c r="M3" s="1190">
        <v>385771.0100000001</v>
      </c>
      <c r="N3" s="1190">
        <v>377307.58999999997</v>
      </c>
      <c r="O3" s="1190">
        <v>140132.69000000003</v>
      </c>
      <c r="P3" s="1190">
        <v>524798.04</v>
      </c>
      <c r="Q3" s="1190">
        <v>2128109.8400000003</v>
      </c>
      <c r="R3" s="1190">
        <v>39573.62999999999</v>
      </c>
      <c r="S3" s="1190">
        <v>760237.6699999997</v>
      </c>
      <c r="T3" s="1190">
        <v>37516.89</v>
      </c>
      <c r="U3" s="1190">
        <v>52295.729999999996</v>
      </c>
      <c r="V3" s="1190">
        <v>242769.06000000003</v>
      </c>
      <c r="W3" s="1190">
        <v>779168.4100000001</v>
      </c>
      <c r="X3" s="1190">
        <v>76295.29</v>
      </c>
      <c r="Y3" s="1190">
        <v>146063.76</v>
      </c>
      <c r="Z3" s="1190">
        <v>1405409.32</v>
      </c>
      <c r="AA3" s="1190">
        <v>1749125.4500000004</v>
      </c>
      <c r="AB3" s="1190">
        <v>34031.3</v>
      </c>
      <c r="AC3" s="1190">
        <v>20241.960000000003</v>
      </c>
      <c r="AD3" s="1190">
        <v>8416.84</v>
      </c>
      <c r="AE3" s="1190">
        <v>53859.7</v>
      </c>
      <c r="AF3" s="1190">
        <v>13322.6</v>
      </c>
      <c r="AG3" s="1190">
        <v>21187.22</v>
      </c>
      <c r="AH3" s="1190">
        <v>24990.02</v>
      </c>
      <c r="AI3" s="1190">
        <v>35933.88</v>
      </c>
      <c r="AJ3" s="1190">
        <v>946796.1900000002</v>
      </c>
      <c r="AK3" s="1190">
        <v>1773718.7199999997</v>
      </c>
      <c r="AL3" s="1190">
        <v>603270</v>
      </c>
      <c r="AM3" s="1190">
        <v>5829051.739999997</v>
      </c>
      <c r="AN3" s="1190">
        <v>135237.63</v>
      </c>
      <c r="AO3" s="1190">
        <v>888399.2900000004</v>
      </c>
      <c r="AP3" s="1190">
        <v>208719.42</v>
      </c>
      <c r="AQ3" s="1190">
        <v>1496669.6600000004</v>
      </c>
      <c r="AR3" s="1190">
        <v>352016.21000000014</v>
      </c>
      <c r="AS3" s="1190">
        <v>3161015.49</v>
      </c>
      <c r="AT3" s="1190">
        <v>296396.32</v>
      </c>
      <c r="AU3" s="1190">
        <v>699536.44</v>
      </c>
      <c r="AV3" s="1190">
        <v>1075385.7899999998</v>
      </c>
      <c r="AW3" s="1190">
        <v>10420429.200000005</v>
      </c>
      <c r="AX3" s="1190">
        <v>325082.13999999996</v>
      </c>
      <c r="AY3" s="1190">
        <v>511090.63999999996</v>
      </c>
      <c r="AZ3" s="1190">
        <v>534695.07</v>
      </c>
      <c r="BA3" s="1190">
        <v>2397478.3300000005</v>
      </c>
      <c r="BB3" s="1190">
        <v>25501.820000000003</v>
      </c>
      <c r="BC3" s="1190">
        <v>426086.0599999999</v>
      </c>
      <c r="BD3" s="1190">
        <v>1344.35</v>
      </c>
      <c r="BE3" s="1190">
        <v>52881.05000000001</v>
      </c>
      <c r="BF3" s="1190">
        <v>307846.08</v>
      </c>
      <c r="BG3" s="1190">
        <v>837170.8599999999</v>
      </c>
      <c r="BH3" s="1190">
        <v>263972.48</v>
      </c>
      <c r="BI3" s="1190">
        <v>101106.94</v>
      </c>
      <c r="BJ3" s="1190">
        <v>69781.86000000002</v>
      </c>
      <c r="BK3" s="1190">
        <v>38274.27</v>
      </c>
      <c r="BL3" s="1190">
        <v>12417.15</v>
      </c>
      <c r="BM3" s="1190">
        <v>10435.75</v>
      </c>
      <c r="BN3" s="1190">
        <v>314365.58999999997</v>
      </c>
      <c r="BO3" s="1190">
        <v>86231.34</v>
      </c>
      <c r="BP3" s="1190">
        <v>15221.22</v>
      </c>
      <c r="BQ3" s="1190">
        <v>19037.45</v>
      </c>
      <c r="BR3" s="1190">
        <v>19797.5</v>
      </c>
      <c r="BS3" s="1190">
        <v>1831.89</v>
      </c>
      <c r="BT3" s="1190">
        <v>9185.27</v>
      </c>
      <c r="BU3" s="1190">
        <v>38045.13999999999</v>
      </c>
      <c r="BV3" s="1190">
        <v>0</v>
      </c>
      <c r="BW3" s="1190">
        <v>0</v>
      </c>
      <c r="BX3" s="1190">
        <v>3750902.3400000003</v>
      </c>
      <c r="BY3" s="1190">
        <v>36022629.58</v>
      </c>
      <c r="BZ3" s="1190">
        <v>116345.94000000002</v>
      </c>
      <c r="CA3" s="1190">
        <v>179159.38</v>
      </c>
      <c r="CB3" s="1190">
        <v>2559.04</v>
      </c>
      <c r="CC3" s="1190">
        <v>1883717.5499999998</v>
      </c>
      <c r="CD3" s="1190">
        <v>253473.66999999998</v>
      </c>
      <c r="CE3" s="1190">
        <v>1079815.84</v>
      </c>
      <c r="CF3" s="1190">
        <v>32969.14</v>
      </c>
      <c r="CG3" s="1190">
        <v>1912954.9999999998</v>
      </c>
      <c r="CH3" s="1190">
        <v>142955.74000000002</v>
      </c>
      <c r="CI3" s="1190">
        <v>1091467.86</v>
      </c>
      <c r="CJ3" s="1190">
        <v>94966.73999999999</v>
      </c>
      <c r="CK3" s="1190">
        <v>330859.49000000005</v>
      </c>
      <c r="CL3" s="1190">
        <v>41691.74</v>
      </c>
      <c r="CM3" s="1190">
        <v>473875.19999999984</v>
      </c>
      <c r="CN3" s="1190">
        <v>212472.94999999995</v>
      </c>
      <c r="CO3" s="1190">
        <v>90712.93000000001</v>
      </c>
      <c r="CP3" s="1190">
        <v>87444.24</v>
      </c>
      <c r="CQ3" s="1190">
        <v>174192.77000000002</v>
      </c>
      <c r="CR3" s="1190">
        <v>94245.43999999999</v>
      </c>
      <c r="CS3" s="1190">
        <v>222565.50000000003</v>
      </c>
      <c r="CT3" s="1190">
        <v>134707.86</v>
      </c>
      <c r="CU3" s="1190">
        <v>786907.5199999999</v>
      </c>
      <c r="CV3" s="1190">
        <v>6592.320000000001</v>
      </c>
      <c r="CW3" s="1190">
        <v>525789.2100000001</v>
      </c>
      <c r="CX3" s="1190">
        <v>859967.02</v>
      </c>
      <c r="CY3" s="1190">
        <v>7286062.520000002</v>
      </c>
      <c r="CZ3" s="1190">
        <v>71720.67</v>
      </c>
      <c r="DA3" s="1190">
        <v>61206.409999999996</v>
      </c>
      <c r="DB3" s="1190">
        <v>55133.84</v>
      </c>
      <c r="DC3" s="1190">
        <v>791780.9199999998</v>
      </c>
      <c r="DD3" s="1190">
        <v>419890.46</v>
      </c>
      <c r="DE3" s="1190">
        <v>653461.2500000001</v>
      </c>
      <c r="DF3" s="1190">
        <v>898590.4199999998</v>
      </c>
      <c r="DG3" s="1190">
        <v>4673491.129999999</v>
      </c>
      <c r="DH3" s="1190">
        <v>30098.23</v>
      </c>
      <c r="DI3" s="1190">
        <v>382461.74000000005</v>
      </c>
      <c r="DJ3" s="1190">
        <v>24412762.360000007</v>
      </c>
      <c r="DK3" s="1190">
        <v>118020703.91999996</v>
      </c>
      <c r="DL3" s="1190">
        <v>142433466.28</v>
      </c>
    </row>
    <row r="4" spans="1:116" s="1181" customFormat="1" ht="15" customHeight="1" hidden="1">
      <c r="A4" s="1181" t="s">
        <v>352</v>
      </c>
      <c r="B4" s="1182" t="s">
        <v>1047</v>
      </c>
      <c r="C4" s="1181" t="s">
        <v>1048</v>
      </c>
      <c r="D4" s="1182" t="s">
        <v>1049</v>
      </c>
      <c r="E4" s="1181" t="s">
        <v>1050</v>
      </c>
      <c r="F4" s="1182" t="s">
        <v>1051</v>
      </c>
      <c r="G4" s="1181" t="s">
        <v>1052</v>
      </c>
      <c r="H4" s="1182" t="s">
        <v>1053</v>
      </c>
      <c r="I4" s="1181" t="s">
        <v>1054</v>
      </c>
      <c r="J4" s="1182" t="s">
        <v>1055</v>
      </c>
      <c r="K4" s="1181" t="s">
        <v>1056</v>
      </c>
      <c r="L4" s="1182" t="s">
        <v>1057</v>
      </c>
      <c r="M4" s="1181" t="s">
        <v>1058</v>
      </c>
      <c r="N4" s="1182" t="s">
        <v>1059</v>
      </c>
      <c r="O4" s="1181" t="s">
        <v>1060</v>
      </c>
      <c r="P4" s="1182" t="s">
        <v>1061</v>
      </c>
      <c r="Q4" s="1181" t="s">
        <v>1062</v>
      </c>
      <c r="R4" s="1182" t="s">
        <v>1063</v>
      </c>
      <c r="S4" s="1181" t="s">
        <v>1064</v>
      </c>
      <c r="T4" s="1182" t="s">
        <v>1065</v>
      </c>
      <c r="U4" s="1181" t="s">
        <v>1066</v>
      </c>
      <c r="V4" s="1182" t="s">
        <v>1067</v>
      </c>
      <c r="W4" s="1181" t="s">
        <v>1068</v>
      </c>
      <c r="X4" s="1182" t="s">
        <v>1069</v>
      </c>
      <c r="Y4" s="1181" t="s">
        <v>1070</v>
      </c>
      <c r="Z4" s="1182" t="s">
        <v>1071</v>
      </c>
      <c r="AA4" s="1181" t="s">
        <v>1072</v>
      </c>
      <c r="AB4" s="1182" t="s">
        <v>1073</v>
      </c>
      <c r="AC4" s="1181" t="s">
        <v>1074</v>
      </c>
      <c r="AD4" s="1182" t="s">
        <v>1075</v>
      </c>
      <c r="AE4" s="1181" t="s">
        <v>1076</v>
      </c>
      <c r="AF4" s="1182" t="s">
        <v>1077</v>
      </c>
      <c r="AG4" s="1181" t="s">
        <v>1078</v>
      </c>
      <c r="AH4" s="1182" t="s">
        <v>1079</v>
      </c>
      <c r="AI4" s="1181" t="s">
        <v>1080</v>
      </c>
      <c r="AJ4" s="1182" t="s">
        <v>1081</v>
      </c>
      <c r="AK4" s="1181" t="s">
        <v>1082</v>
      </c>
      <c r="AL4" s="1182" t="s">
        <v>1083</v>
      </c>
      <c r="AM4" s="1181" t="s">
        <v>1084</v>
      </c>
      <c r="AN4" s="1182" t="s">
        <v>1085</v>
      </c>
      <c r="AO4" s="1181" t="s">
        <v>1086</v>
      </c>
      <c r="AP4" s="1182" t="s">
        <v>1087</v>
      </c>
      <c r="AQ4" s="1181" t="s">
        <v>1088</v>
      </c>
      <c r="AR4" s="1182" t="s">
        <v>1089</v>
      </c>
      <c r="AS4" s="1181" t="s">
        <v>1090</v>
      </c>
      <c r="AT4" s="1182" t="s">
        <v>1091</v>
      </c>
      <c r="AU4" s="1181" t="s">
        <v>1092</v>
      </c>
      <c r="AV4" s="1182" t="s">
        <v>1093</v>
      </c>
      <c r="AW4" s="1181" t="s">
        <v>1094</v>
      </c>
      <c r="AX4" s="1182" t="s">
        <v>1095</v>
      </c>
      <c r="AY4" s="1181" t="s">
        <v>1096</v>
      </c>
      <c r="AZ4" s="1182" t="s">
        <v>1097</v>
      </c>
      <c r="BA4" s="1181" t="s">
        <v>1098</v>
      </c>
      <c r="BB4" s="1182" t="s">
        <v>1099</v>
      </c>
      <c r="BC4" s="1181" t="s">
        <v>1100</v>
      </c>
      <c r="BD4" s="1182" t="s">
        <v>1101</v>
      </c>
      <c r="BE4" s="1181" t="s">
        <v>1102</v>
      </c>
      <c r="BF4" s="1182" t="s">
        <v>1103</v>
      </c>
      <c r="BG4" s="1181" t="s">
        <v>1104</v>
      </c>
      <c r="BH4" s="1182" t="s">
        <v>1105</v>
      </c>
      <c r="BI4" s="1181" t="s">
        <v>1106</v>
      </c>
      <c r="BJ4" s="1182" t="s">
        <v>1107</v>
      </c>
      <c r="BK4" s="1181" t="s">
        <v>1108</v>
      </c>
      <c r="BL4" s="1182" t="s">
        <v>1109</v>
      </c>
      <c r="BM4" s="1181" t="s">
        <v>1110</v>
      </c>
      <c r="BN4" s="1182" t="s">
        <v>1111</v>
      </c>
      <c r="BO4" s="1181" t="s">
        <v>1112</v>
      </c>
      <c r="BP4" s="1182" t="s">
        <v>1113</v>
      </c>
      <c r="BQ4" s="1181" t="s">
        <v>1114</v>
      </c>
      <c r="BR4" s="1182" t="s">
        <v>1115</v>
      </c>
      <c r="BS4" s="1181" t="s">
        <v>1116</v>
      </c>
      <c r="BT4" s="1182" t="s">
        <v>1117</v>
      </c>
      <c r="BU4" s="1181" t="s">
        <v>1118</v>
      </c>
      <c r="BV4" s="1182" t="s">
        <v>1119</v>
      </c>
      <c r="BW4" s="1181" t="s">
        <v>1120</v>
      </c>
      <c r="BX4" s="1182" t="s">
        <v>1121</v>
      </c>
      <c r="BY4" s="1181" t="s">
        <v>1122</v>
      </c>
      <c r="BZ4" s="1182" t="s">
        <v>1123</v>
      </c>
      <c r="CA4" s="1181" t="s">
        <v>1124</v>
      </c>
      <c r="CB4" s="1182" t="s">
        <v>1125</v>
      </c>
      <c r="CC4" s="1181" t="s">
        <v>1126</v>
      </c>
      <c r="CD4" s="1182" t="s">
        <v>1127</v>
      </c>
      <c r="CE4" s="1181" t="s">
        <v>1128</v>
      </c>
      <c r="CF4" s="1182" t="s">
        <v>1129</v>
      </c>
      <c r="CG4" s="1181" t="s">
        <v>1130</v>
      </c>
      <c r="CH4" s="1182" t="s">
        <v>1131</v>
      </c>
      <c r="CI4" s="1181" t="s">
        <v>1132</v>
      </c>
      <c r="CJ4" s="1182" t="s">
        <v>1133</v>
      </c>
      <c r="CK4" s="1181" t="s">
        <v>1134</v>
      </c>
      <c r="CL4" s="1182" t="s">
        <v>1135</v>
      </c>
      <c r="CM4" s="1181" t="s">
        <v>1136</v>
      </c>
      <c r="CN4" s="1182" t="s">
        <v>1137</v>
      </c>
      <c r="CO4" s="1181" t="s">
        <v>1138</v>
      </c>
      <c r="CP4" s="1182" t="s">
        <v>1139</v>
      </c>
      <c r="CQ4" s="1181" t="s">
        <v>1140</v>
      </c>
      <c r="CR4" s="1182" t="s">
        <v>1141</v>
      </c>
      <c r="CS4" s="1181" t="s">
        <v>1142</v>
      </c>
      <c r="CT4" s="1182" t="s">
        <v>1143</v>
      </c>
      <c r="CU4" s="1181" t="s">
        <v>1144</v>
      </c>
      <c r="CV4" s="1182" t="s">
        <v>1145</v>
      </c>
      <c r="CW4" s="1181" t="s">
        <v>1146</v>
      </c>
      <c r="CX4" s="1182" t="s">
        <v>1147</v>
      </c>
      <c r="CY4" s="1181" t="s">
        <v>1148</v>
      </c>
      <c r="CZ4" s="1182" t="s">
        <v>1149</v>
      </c>
      <c r="DA4" s="1181" t="s">
        <v>1150</v>
      </c>
      <c r="DB4" s="1182" t="s">
        <v>1151</v>
      </c>
      <c r="DC4" s="1181" t="s">
        <v>1152</v>
      </c>
      <c r="DD4" s="1182" t="s">
        <v>1153</v>
      </c>
      <c r="DE4" s="1181" t="s">
        <v>1153</v>
      </c>
      <c r="DF4" s="1182" t="s">
        <v>1154</v>
      </c>
      <c r="DG4" s="1181" t="s">
        <v>1155</v>
      </c>
      <c r="DH4" s="1182" t="s">
        <v>1156</v>
      </c>
      <c r="DI4" s="1181" t="s">
        <v>1157</v>
      </c>
      <c r="DJ4" s="1183" t="s">
        <v>1158</v>
      </c>
      <c r="DK4" s="1181" t="s">
        <v>1159</v>
      </c>
      <c r="DL4" s="1181" t="s">
        <v>1160</v>
      </c>
    </row>
    <row r="5" spans="2:116" s="1184" customFormat="1" ht="159.75" hidden="1">
      <c r="B5" s="1185" t="s">
        <v>1161</v>
      </c>
      <c r="C5" s="1184" t="s">
        <v>1161</v>
      </c>
      <c r="D5" s="1185" t="s">
        <v>1162</v>
      </c>
      <c r="E5" s="1184" t="s">
        <v>1162</v>
      </c>
      <c r="F5" s="1185" t="s">
        <v>1163</v>
      </c>
      <c r="G5" s="1184" t="s">
        <v>1163</v>
      </c>
      <c r="H5" s="1185" t="s">
        <v>1164</v>
      </c>
      <c r="I5" s="1184" t="s">
        <v>1164</v>
      </c>
      <c r="J5" s="1186" t="s">
        <v>1165</v>
      </c>
      <c r="K5" s="1187" t="s">
        <v>1165</v>
      </c>
      <c r="L5" s="1185" t="s">
        <v>1166</v>
      </c>
      <c r="M5" s="1184" t="s">
        <v>1166</v>
      </c>
      <c r="N5" s="1185" t="s">
        <v>1167</v>
      </c>
      <c r="O5" s="1184" t="s">
        <v>1167</v>
      </c>
      <c r="P5" s="1185" t="s">
        <v>1168</v>
      </c>
      <c r="Q5" s="1184" t="s">
        <v>1168</v>
      </c>
      <c r="R5" s="1185" t="s">
        <v>1169</v>
      </c>
      <c r="S5" s="1184" t="s">
        <v>1169</v>
      </c>
      <c r="T5" s="1185" t="s">
        <v>1170</v>
      </c>
      <c r="U5" s="1184" t="s">
        <v>1170</v>
      </c>
      <c r="V5" s="1185" t="s">
        <v>1171</v>
      </c>
      <c r="W5" s="1184" t="s">
        <v>1171</v>
      </c>
      <c r="X5" s="1185" t="s">
        <v>1172</v>
      </c>
      <c r="Y5" s="1184" t="s">
        <v>1172</v>
      </c>
      <c r="Z5" s="1185" t="s">
        <v>1173</v>
      </c>
      <c r="AA5" s="1184" t="s">
        <v>1173</v>
      </c>
      <c r="AB5" s="1185" t="s">
        <v>1174</v>
      </c>
      <c r="AC5" s="1184" t="s">
        <v>1174</v>
      </c>
      <c r="AD5" s="1185" t="s">
        <v>1175</v>
      </c>
      <c r="AE5" s="1184" t="s">
        <v>1175</v>
      </c>
      <c r="AF5" s="1185" t="s">
        <v>1176</v>
      </c>
      <c r="AG5" s="1184" t="s">
        <v>1176</v>
      </c>
      <c r="AH5" s="1185" t="s">
        <v>1177</v>
      </c>
      <c r="AI5" s="1184" t="s">
        <v>1177</v>
      </c>
      <c r="AJ5" s="1185" t="s">
        <v>1178</v>
      </c>
      <c r="AK5" s="1184" t="s">
        <v>1178</v>
      </c>
      <c r="AL5" s="1185" t="s">
        <v>1179</v>
      </c>
      <c r="AM5" s="1184" t="s">
        <v>1179</v>
      </c>
      <c r="AN5" s="1185" t="s">
        <v>1180</v>
      </c>
      <c r="AO5" s="1184" t="s">
        <v>1180</v>
      </c>
      <c r="AP5" s="1185" t="s">
        <v>1181</v>
      </c>
      <c r="AQ5" s="1184" t="s">
        <v>1181</v>
      </c>
      <c r="AR5" s="1185" t="s">
        <v>1182</v>
      </c>
      <c r="AS5" s="1184" t="s">
        <v>1182</v>
      </c>
      <c r="AT5" s="1185" t="s">
        <v>1183</v>
      </c>
      <c r="AU5" s="1184" t="s">
        <v>1183</v>
      </c>
      <c r="AV5" s="1185" t="s">
        <v>1184</v>
      </c>
      <c r="AW5" s="1184" t="s">
        <v>1184</v>
      </c>
      <c r="AX5" s="1185" t="s">
        <v>1219</v>
      </c>
      <c r="AY5" s="1184" t="s">
        <v>1219</v>
      </c>
      <c r="AZ5" s="1185" t="s">
        <v>1186</v>
      </c>
      <c r="BA5" s="1184" t="s">
        <v>1186</v>
      </c>
      <c r="BB5" s="1185" t="s">
        <v>1187</v>
      </c>
      <c r="BC5" s="1184" t="s">
        <v>1187</v>
      </c>
      <c r="BD5" s="1185" t="s">
        <v>1188</v>
      </c>
      <c r="BE5" s="1184" t="s">
        <v>1188</v>
      </c>
      <c r="BF5" s="1185" t="s">
        <v>1220</v>
      </c>
      <c r="BG5" s="1184" t="s">
        <v>1220</v>
      </c>
      <c r="BH5" s="1185" t="s">
        <v>1190</v>
      </c>
      <c r="BI5" s="1184" t="s">
        <v>1190</v>
      </c>
      <c r="BJ5" s="1185" t="s">
        <v>1191</v>
      </c>
      <c r="BK5" s="1184" t="s">
        <v>1191</v>
      </c>
      <c r="BL5" s="1185" t="s">
        <v>1192</v>
      </c>
      <c r="BM5" s="1184" t="s">
        <v>1192</v>
      </c>
      <c r="BN5" s="1185" t="s">
        <v>1193</v>
      </c>
      <c r="BO5" s="1184" t="s">
        <v>1193</v>
      </c>
      <c r="BP5" s="1185" t="s">
        <v>1194</v>
      </c>
      <c r="BQ5" s="1184" t="s">
        <v>1194</v>
      </c>
      <c r="BR5" s="1185" t="s">
        <v>1195</v>
      </c>
      <c r="BS5" s="1184" t="s">
        <v>1195</v>
      </c>
      <c r="BT5" s="1185" t="s">
        <v>1196</v>
      </c>
      <c r="BU5" s="1184" t="s">
        <v>1196</v>
      </c>
      <c r="BV5" s="1185" t="s">
        <v>1197</v>
      </c>
      <c r="BW5" s="1184" t="s">
        <v>1197</v>
      </c>
      <c r="BX5" s="1185" t="s">
        <v>1198</v>
      </c>
      <c r="BY5" s="1184" t="s">
        <v>1198</v>
      </c>
      <c r="BZ5" s="1185" t="s">
        <v>1199</v>
      </c>
      <c r="CA5" s="1184" t="s">
        <v>1199</v>
      </c>
      <c r="CB5" s="1185" t="s">
        <v>1200</v>
      </c>
      <c r="CC5" s="1184" t="s">
        <v>1200</v>
      </c>
      <c r="CD5" s="1185" t="s">
        <v>1201</v>
      </c>
      <c r="CE5" s="1184" t="s">
        <v>1201</v>
      </c>
      <c r="CF5" s="1185" t="s">
        <v>1202</v>
      </c>
      <c r="CG5" s="1184" t="s">
        <v>1202</v>
      </c>
      <c r="CH5" s="1185" t="s">
        <v>1203</v>
      </c>
      <c r="CI5" s="1184" t="s">
        <v>1203</v>
      </c>
      <c r="CJ5" s="1185" t="s">
        <v>1204</v>
      </c>
      <c r="CK5" s="1184" t="s">
        <v>1204</v>
      </c>
      <c r="CL5" s="1185" t="s">
        <v>1205</v>
      </c>
      <c r="CM5" s="1184" t="s">
        <v>1205</v>
      </c>
      <c r="CN5" s="1185" t="s">
        <v>1206</v>
      </c>
      <c r="CO5" s="1184" t="s">
        <v>1207</v>
      </c>
      <c r="CP5" s="1185" t="s">
        <v>1208</v>
      </c>
      <c r="CQ5" s="1184" t="s">
        <v>1208</v>
      </c>
      <c r="CR5" s="1185" t="s">
        <v>1209</v>
      </c>
      <c r="CS5" s="1184" t="s">
        <v>1209</v>
      </c>
      <c r="CT5" s="1185" t="s">
        <v>1210</v>
      </c>
      <c r="CU5" s="1184" t="s">
        <v>1210</v>
      </c>
      <c r="CV5" s="1185" t="s">
        <v>1211</v>
      </c>
      <c r="CW5" s="1184" t="s">
        <v>1211</v>
      </c>
      <c r="CX5" s="1185" t="s">
        <v>1212</v>
      </c>
      <c r="CY5" s="1184" t="s">
        <v>1212</v>
      </c>
      <c r="CZ5" s="1185" t="s">
        <v>1213</v>
      </c>
      <c r="DA5" s="1184" t="s">
        <v>1213</v>
      </c>
      <c r="DB5" s="1185" t="s">
        <v>1214</v>
      </c>
      <c r="DC5" s="1184" t="s">
        <v>1214</v>
      </c>
      <c r="DD5" s="1185" t="s">
        <v>1215</v>
      </c>
      <c r="DE5" s="1184" t="s">
        <v>1215</v>
      </c>
      <c r="DF5" s="1185" t="s">
        <v>1216</v>
      </c>
      <c r="DG5" s="1184" t="s">
        <v>1216</v>
      </c>
      <c r="DH5" s="1185" t="s">
        <v>1217</v>
      </c>
      <c r="DI5" s="1184" t="s">
        <v>1217</v>
      </c>
      <c r="DJ5" s="1188"/>
      <c r="DL5" s="1189"/>
    </row>
    <row r="6" spans="1:116" s="1190" customFormat="1" ht="15" customHeight="1">
      <c r="A6" s="1190" t="s">
        <v>1221</v>
      </c>
      <c r="B6" s="1190">
        <v>3468855.7500000005</v>
      </c>
      <c r="C6" s="1190">
        <v>15137455.439999994</v>
      </c>
      <c r="D6" s="1190">
        <v>6222.3</v>
      </c>
      <c r="E6" s="1190">
        <v>297575.81</v>
      </c>
      <c r="F6" s="1190">
        <v>18131.62</v>
      </c>
      <c r="G6" s="1190">
        <v>152424.07</v>
      </c>
      <c r="H6" s="1190">
        <v>2249091.3899999997</v>
      </c>
      <c r="I6" s="1190">
        <v>6128989.910000004</v>
      </c>
      <c r="J6" s="1190">
        <v>52070.05999999998</v>
      </c>
      <c r="K6" s="1190">
        <v>993688.3100000003</v>
      </c>
      <c r="L6" s="1190">
        <v>47714.490000000005</v>
      </c>
      <c r="M6" s="1190">
        <v>683855.1400000001</v>
      </c>
      <c r="N6" s="1190">
        <v>286270.11000000004</v>
      </c>
      <c r="O6" s="1190">
        <v>371587.53999999986</v>
      </c>
      <c r="P6" s="1190">
        <v>493268.23</v>
      </c>
      <c r="Q6" s="1190">
        <v>2928146.2700000005</v>
      </c>
      <c r="R6" s="1190">
        <v>40106</v>
      </c>
      <c r="S6" s="1190">
        <v>700838.7799999999</v>
      </c>
      <c r="T6" s="1190">
        <v>65505.520000000004</v>
      </c>
      <c r="U6" s="1190">
        <v>108746.00999999998</v>
      </c>
      <c r="V6" s="1190">
        <v>126288.62</v>
      </c>
      <c r="W6" s="1190">
        <v>1534777.25</v>
      </c>
      <c r="X6" s="1190">
        <v>101307.62</v>
      </c>
      <c r="Y6" s="1190">
        <v>268931.26</v>
      </c>
      <c r="Z6" s="1190">
        <v>1095232.4500000002</v>
      </c>
      <c r="AA6" s="1190">
        <v>3689516.1700000004</v>
      </c>
      <c r="AB6" s="1190">
        <v>24149.09</v>
      </c>
      <c r="AC6" s="1190">
        <v>66312.36</v>
      </c>
      <c r="AD6" s="1190">
        <v>18917.77</v>
      </c>
      <c r="AE6" s="1190">
        <v>194763.49999999997</v>
      </c>
      <c r="AF6" s="1190">
        <v>29951.300000000003</v>
      </c>
      <c r="AG6" s="1190">
        <v>148853.09999999998</v>
      </c>
      <c r="AH6" s="1190">
        <v>21105.269999999997</v>
      </c>
      <c r="AI6" s="1190">
        <v>56602.37</v>
      </c>
      <c r="AJ6" s="1190">
        <v>377807.67000000004</v>
      </c>
      <c r="AK6" s="1190">
        <v>1209753.18</v>
      </c>
      <c r="AL6" s="1190">
        <v>602168.9599999998</v>
      </c>
      <c r="AM6" s="1190">
        <v>7398181.120000001</v>
      </c>
      <c r="AN6" s="1190">
        <v>80276.94000000003</v>
      </c>
      <c r="AO6" s="1190">
        <v>990178.1399999999</v>
      </c>
      <c r="AP6" s="1190">
        <v>52365.170000000006</v>
      </c>
      <c r="AQ6" s="1190">
        <v>757161.7100000001</v>
      </c>
      <c r="AR6" s="1190">
        <v>284672.21</v>
      </c>
      <c r="AS6" s="1190">
        <v>4666879.16</v>
      </c>
      <c r="AT6" s="1190">
        <v>201760.36</v>
      </c>
      <c r="AU6" s="1190">
        <v>960960.59</v>
      </c>
      <c r="AV6" s="1190">
        <v>936096.5400000002</v>
      </c>
      <c r="AW6" s="1190">
        <v>13886387.590000005</v>
      </c>
      <c r="AX6" s="1190">
        <v>139135.93000000002</v>
      </c>
      <c r="AY6" s="1190">
        <v>439316.3300000001</v>
      </c>
      <c r="AZ6" s="1190">
        <v>670079.56</v>
      </c>
      <c r="BA6" s="1190">
        <v>2162388.4140000003</v>
      </c>
      <c r="BB6" s="1190">
        <v>45686.979999999996</v>
      </c>
      <c r="BC6" s="1190">
        <v>425073.87000000005</v>
      </c>
      <c r="BD6" s="1190">
        <v>8352.300000000001</v>
      </c>
      <c r="BE6" s="1190">
        <v>48263.86000000001</v>
      </c>
      <c r="BF6" s="1190">
        <v>262521.92000000004</v>
      </c>
      <c r="BG6" s="1190">
        <v>672466.9999999999</v>
      </c>
      <c r="BH6" s="1190">
        <v>90000.92</v>
      </c>
      <c r="BI6" s="1190">
        <v>169231.22</v>
      </c>
      <c r="BJ6" s="1190">
        <v>69430.34</v>
      </c>
      <c r="BK6" s="1190">
        <v>74187.74</v>
      </c>
      <c r="BL6" s="1190">
        <v>0</v>
      </c>
      <c r="BM6" s="1190">
        <v>1492.1</v>
      </c>
      <c r="BN6" s="1190">
        <v>97404.36</v>
      </c>
      <c r="BO6" s="1190">
        <v>239164.95</v>
      </c>
      <c r="BP6" s="1190">
        <v>788.67</v>
      </c>
      <c r="BQ6" s="1190">
        <v>6635.25</v>
      </c>
      <c r="BR6" s="1190">
        <v>0</v>
      </c>
      <c r="BS6" s="1190">
        <v>1279.23</v>
      </c>
      <c r="BT6" s="1190">
        <v>3679.96</v>
      </c>
      <c r="BU6" s="1190">
        <v>104911.63</v>
      </c>
      <c r="BV6" s="1190">
        <v>0</v>
      </c>
      <c r="BW6" s="1190">
        <v>8934.45</v>
      </c>
      <c r="BX6" s="1190">
        <v>3449520.51</v>
      </c>
      <c r="BY6" s="1190">
        <v>36261751.25999996</v>
      </c>
      <c r="BZ6" s="1190">
        <v>72056.94</v>
      </c>
      <c r="CA6" s="1190">
        <v>394264.42999999993</v>
      </c>
      <c r="CB6" s="1190">
        <v>17400</v>
      </c>
      <c r="CC6" s="1190">
        <v>1832344.79</v>
      </c>
      <c r="CD6" s="1190">
        <v>48260.39</v>
      </c>
      <c r="CE6" s="1190">
        <v>1227013.0499999998</v>
      </c>
      <c r="CF6" s="1190">
        <v>11151.01</v>
      </c>
      <c r="CG6" s="1190">
        <v>2586454.35</v>
      </c>
      <c r="CH6" s="1190">
        <v>123410.68999999999</v>
      </c>
      <c r="CI6" s="1190">
        <v>1867506.0300000003</v>
      </c>
      <c r="CJ6" s="1190">
        <v>50202.9</v>
      </c>
      <c r="CK6" s="1190">
        <v>357579.7299999999</v>
      </c>
      <c r="CL6" s="1190">
        <v>45592.25</v>
      </c>
      <c r="CM6" s="1190">
        <v>464467.55</v>
      </c>
      <c r="CN6" s="1190">
        <v>109525.56</v>
      </c>
      <c r="CO6" s="1190">
        <v>245577.74999999997</v>
      </c>
      <c r="CP6" s="1190">
        <v>32260.53</v>
      </c>
      <c r="CQ6" s="1190">
        <v>436530.2100000001</v>
      </c>
      <c r="CR6" s="1190">
        <v>109091.40000000002</v>
      </c>
      <c r="CS6" s="1190">
        <v>255916.31999999998</v>
      </c>
      <c r="CT6" s="1190">
        <v>113963.73</v>
      </c>
      <c r="CU6" s="1190">
        <v>777641.1799999999</v>
      </c>
      <c r="CV6" s="1190">
        <v>18686.82</v>
      </c>
      <c r="CW6" s="1190">
        <v>208186.29</v>
      </c>
      <c r="CX6" s="1190">
        <v>1610922.9900000002</v>
      </c>
      <c r="CY6" s="1190">
        <v>8974454.830000002</v>
      </c>
      <c r="CZ6" s="1190">
        <v>34457.8</v>
      </c>
      <c r="DA6" s="1190">
        <v>59842.81000000001</v>
      </c>
      <c r="DB6" s="1190">
        <v>33405.2</v>
      </c>
      <c r="DC6" s="1190">
        <v>128884.39000000001</v>
      </c>
      <c r="DD6" s="1190">
        <v>263049.46</v>
      </c>
      <c r="DE6" s="1190">
        <v>660899.6499999999</v>
      </c>
      <c r="DF6" s="1190">
        <v>904452.6100000001</v>
      </c>
      <c r="DG6" s="1190">
        <v>4780800.290000003</v>
      </c>
      <c r="DH6" s="1190">
        <v>7378.77</v>
      </c>
      <c r="DI6" s="1190">
        <v>182559.46999999997</v>
      </c>
      <c r="DJ6" s="1190">
        <v>19121205.93999999</v>
      </c>
      <c r="DK6" s="1190">
        <v>129388585.20399998</v>
      </c>
      <c r="DL6" s="1190">
        <v>148509791.144</v>
      </c>
    </row>
    <row r="7" spans="1:116" s="1181" customFormat="1" ht="60" hidden="1">
      <c r="A7" s="1181" t="s">
        <v>352</v>
      </c>
      <c r="B7" s="1182" t="s">
        <v>1222</v>
      </c>
      <c r="C7" s="1181" t="s">
        <v>1223</v>
      </c>
      <c r="D7" s="1182" t="s">
        <v>1049</v>
      </c>
      <c r="E7" s="1181" t="s">
        <v>1050</v>
      </c>
      <c r="F7" s="1182" t="s">
        <v>1051</v>
      </c>
      <c r="G7" s="1181" t="s">
        <v>1052</v>
      </c>
      <c r="H7" s="1182" t="s">
        <v>1053</v>
      </c>
      <c r="I7" s="1181" t="s">
        <v>1054</v>
      </c>
      <c r="J7" s="1182" t="s">
        <v>1055</v>
      </c>
      <c r="K7" s="1181" t="s">
        <v>1056</v>
      </c>
      <c r="L7" s="1182" t="s">
        <v>1057</v>
      </c>
      <c r="M7" s="1181" t="s">
        <v>1058</v>
      </c>
      <c r="N7" s="1182" t="s">
        <v>1059</v>
      </c>
      <c r="O7" s="1181" t="s">
        <v>1060</v>
      </c>
      <c r="P7" s="1182" t="s">
        <v>1061</v>
      </c>
      <c r="Q7" s="1181" t="s">
        <v>1062</v>
      </c>
      <c r="R7" s="1182" t="s">
        <v>1063</v>
      </c>
      <c r="S7" s="1181" t="s">
        <v>1064</v>
      </c>
      <c r="T7" s="1182" t="s">
        <v>1065</v>
      </c>
      <c r="U7" s="1181" t="s">
        <v>1066</v>
      </c>
      <c r="V7" s="1182" t="s">
        <v>1224</v>
      </c>
      <c r="W7" s="1181" t="s">
        <v>1225</v>
      </c>
      <c r="X7" s="1182" t="s">
        <v>1069</v>
      </c>
      <c r="Y7" s="1181" t="s">
        <v>1070</v>
      </c>
      <c r="Z7" s="1182" t="s">
        <v>1071</v>
      </c>
      <c r="AA7" s="1181" t="s">
        <v>1072</v>
      </c>
      <c r="AB7" s="1182" t="s">
        <v>1073</v>
      </c>
      <c r="AC7" s="1181" t="s">
        <v>1074</v>
      </c>
      <c r="AD7" s="1182" t="s">
        <v>1075</v>
      </c>
      <c r="AE7" s="1181" t="s">
        <v>1076</v>
      </c>
      <c r="AH7" s="1182" t="s">
        <v>1079</v>
      </c>
      <c r="AI7" s="1181" t="s">
        <v>1080</v>
      </c>
      <c r="AJ7" s="1182" t="s">
        <v>1081</v>
      </c>
      <c r="AK7" s="1181" t="s">
        <v>1082</v>
      </c>
      <c r="AL7" s="1182" t="s">
        <v>1083</v>
      </c>
      <c r="AM7" s="1181" t="s">
        <v>1084</v>
      </c>
      <c r="AN7" s="1182" t="s">
        <v>1085</v>
      </c>
      <c r="AO7" s="1181" t="s">
        <v>1086</v>
      </c>
      <c r="AP7" s="1182" t="s">
        <v>1087</v>
      </c>
      <c r="AQ7" s="1181" t="s">
        <v>1088</v>
      </c>
      <c r="AR7" s="1182" t="s">
        <v>1089</v>
      </c>
      <c r="AS7" s="1181" t="s">
        <v>1090</v>
      </c>
      <c r="AT7" s="1182" t="s">
        <v>1091</v>
      </c>
      <c r="AU7" s="1181" t="s">
        <v>1092</v>
      </c>
      <c r="AX7" s="1182" t="s">
        <v>1095</v>
      </c>
      <c r="AY7" s="1181" t="s">
        <v>1096</v>
      </c>
      <c r="AZ7" s="1182" t="s">
        <v>1097</v>
      </c>
      <c r="BA7" s="1181" t="s">
        <v>1098</v>
      </c>
      <c r="BB7" s="1182" t="s">
        <v>1099</v>
      </c>
      <c r="BC7" s="1181" t="s">
        <v>1100</v>
      </c>
      <c r="BD7" s="1182" t="s">
        <v>1101</v>
      </c>
      <c r="BE7" s="1181" t="s">
        <v>1102</v>
      </c>
      <c r="BF7" s="1182" t="s">
        <v>1103</v>
      </c>
      <c r="BG7" s="1181" t="s">
        <v>1104</v>
      </c>
      <c r="BH7" s="1182" t="s">
        <v>1105</v>
      </c>
      <c r="BI7" s="1181" t="s">
        <v>1106</v>
      </c>
      <c r="BJ7" s="1182" t="s">
        <v>1107</v>
      </c>
      <c r="BK7" s="1181" t="s">
        <v>1108</v>
      </c>
      <c r="BL7" s="1182" t="s">
        <v>1226</v>
      </c>
      <c r="BM7" s="1181" t="s">
        <v>1227</v>
      </c>
      <c r="BR7" s="1182" t="s">
        <v>1115</v>
      </c>
      <c r="BS7" s="1181" t="s">
        <v>1116</v>
      </c>
      <c r="BT7" s="1182" t="s">
        <v>1117</v>
      </c>
      <c r="BU7" s="1181" t="s">
        <v>1118</v>
      </c>
      <c r="BV7" s="1182" t="s">
        <v>1119</v>
      </c>
      <c r="BW7" s="1181" t="s">
        <v>1120</v>
      </c>
      <c r="BX7" s="1182" t="s">
        <v>1228</v>
      </c>
      <c r="BY7" s="1181" t="s">
        <v>1229</v>
      </c>
      <c r="BZ7" s="1182" t="s">
        <v>1123</v>
      </c>
      <c r="CA7" s="1181" t="s">
        <v>1124</v>
      </c>
      <c r="CB7" s="1182" t="s">
        <v>1125</v>
      </c>
      <c r="CC7" s="1181" t="s">
        <v>1126</v>
      </c>
      <c r="CF7" s="1182" t="s">
        <v>1129</v>
      </c>
      <c r="CG7" s="1181" t="s">
        <v>1130</v>
      </c>
      <c r="CH7" s="1182" t="s">
        <v>1131</v>
      </c>
      <c r="CI7" s="1181" t="s">
        <v>1132</v>
      </c>
      <c r="CJ7" s="1182" t="s">
        <v>1133</v>
      </c>
      <c r="CK7" s="1181" t="s">
        <v>1134</v>
      </c>
      <c r="CL7" s="1182" t="s">
        <v>1135</v>
      </c>
      <c r="CM7" s="1181" t="s">
        <v>1136</v>
      </c>
      <c r="CN7" s="1182" t="s">
        <v>1137</v>
      </c>
      <c r="CO7" s="1181" t="s">
        <v>1138</v>
      </c>
      <c r="CP7" s="1182" t="s">
        <v>1139</v>
      </c>
      <c r="CQ7" s="1181" t="s">
        <v>1140</v>
      </c>
      <c r="CR7" s="1182" t="s">
        <v>1141</v>
      </c>
      <c r="CS7" s="1181" t="s">
        <v>1142</v>
      </c>
      <c r="CT7" s="1182" t="s">
        <v>1143</v>
      </c>
      <c r="CU7" s="1181" t="s">
        <v>1144</v>
      </c>
      <c r="CV7" s="1182" t="s">
        <v>1145</v>
      </c>
      <c r="CW7" s="1181" t="s">
        <v>1146</v>
      </c>
      <c r="CX7" s="1182" t="s">
        <v>1147</v>
      </c>
      <c r="CY7" s="1181" t="s">
        <v>1148</v>
      </c>
      <c r="CZ7" s="1182" t="s">
        <v>1149</v>
      </c>
      <c r="DA7" s="1181" t="s">
        <v>1150</v>
      </c>
      <c r="DB7" s="1182" t="s">
        <v>1151</v>
      </c>
      <c r="DC7" s="1181" t="s">
        <v>1152</v>
      </c>
      <c r="DD7" s="1182" t="s">
        <v>1230</v>
      </c>
      <c r="DE7" s="1181" t="s">
        <v>1231</v>
      </c>
      <c r="DF7" s="1182" t="s">
        <v>1154</v>
      </c>
      <c r="DG7" s="1181" t="s">
        <v>1155</v>
      </c>
      <c r="DH7" s="1182" t="s">
        <v>1156</v>
      </c>
      <c r="DI7" s="1181" t="s">
        <v>1157</v>
      </c>
      <c r="DJ7" s="1191" t="s">
        <v>1158</v>
      </c>
      <c r="DK7" s="1181" t="s">
        <v>1159</v>
      </c>
      <c r="DL7" s="1192" t="s">
        <v>1160</v>
      </c>
    </row>
    <row r="8" spans="2:116" s="1184" customFormat="1" ht="15" customHeight="1" hidden="1">
      <c r="B8" s="1185" t="s">
        <v>1232</v>
      </c>
      <c r="C8" s="1184" t="s">
        <v>1232</v>
      </c>
      <c r="D8" s="1185" t="s">
        <v>1162</v>
      </c>
      <c r="E8" s="1184" t="s">
        <v>1162</v>
      </c>
      <c r="F8" s="1185" t="s">
        <v>1163</v>
      </c>
      <c r="G8" s="1184" t="s">
        <v>1163</v>
      </c>
      <c r="H8" s="1185" t="s">
        <v>1233</v>
      </c>
      <c r="I8" s="1184" t="s">
        <v>1233</v>
      </c>
      <c r="J8" s="1186" t="s">
        <v>1234</v>
      </c>
      <c r="K8" s="1187" t="s">
        <v>1234</v>
      </c>
      <c r="L8" s="1185" t="s">
        <v>1235</v>
      </c>
      <c r="M8" s="1184" t="s">
        <v>1235</v>
      </c>
      <c r="N8" s="1185" t="s">
        <v>1236</v>
      </c>
      <c r="O8" s="1184" t="s">
        <v>1236</v>
      </c>
      <c r="P8" s="1185" t="s">
        <v>1237</v>
      </c>
      <c r="Q8" s="1184" t="s">
        <v>1237</v>
      </c>
      <c r="R8" s="1185" t="s">
        <v>1238</v>
      </c>
      <c r="S8" s="1184" t="s">
        <v>1238</v>
      </c>
      <c r="T8" s="1185" t="s">
        <v>1239</v>
      </c>
      <c r="U8" s="1184" t="s">
        <v>1239</v>
      </c>
      <c r="V8" s="1185" t="s">
        <v>1240</v>
      </c>
      <c r="W8" s="1184" t="s">
        <v>1240</v>
      </c>
      <c r="X8" s="1185" t="s">
        <v>1172</v>
      </c>
      <c r="Y8" s="1184" t="s">
        <v>1172</v>
      </c>
      <c r="Z8" s="1185" t="s">
        <v>1241</v>
      </c>
      <c r="AA8" s="1184" t="s">
        <v>1241</v>
      </c>
      <c r="AB8" s="1185" t="s">
        <v>1174</v>
      </c>
      <c r="AC8" s="1184" t="s">
        <v>1174</v>
      </c>
      <c r="AD8" s="1185" t="s">
        <v>1175</v>
      </c>
      <c r="AE8" s="1184" t="s">
        <v>1175</v>
      </c>
      <c r="AH8" s="1185" t="s">
        <v>1177</v>
      </c>
      <c r="AI8" s="1184" t="s">
        <v>1177</v>
      </c>
      <c r="AJ8" s="1185" t="s">
        <v>1178</v>
      </c>
      <c r="AK8" s="1184" t="s">
        <v>1178</v>
      </c>
      <c r="AL8" s="1185" t="s">
        <v>1242</v>
      </c>
      <c r="AM8" s="1184" t="s">
        <v>1242</v>
      </c>
      <c r="AN8" s="1185" t="s">
        <v>1180</v>
      </c>
      <c r="AO8" s="1184" t="s">
        <v>1180</v>
      </c>
      <c r="AP8" s="1185" t="s">
        <v>1181</v>
      </c>
      <c r="AQ8" s="1184" t="s">
        <v>1181</v>
      </c>
      <c r="AR8" s="1185" t="s">
        <v>1182</v>
      </c>
      <c r="AS8" s="1184" t="s">
        <v>1182</v>
      </c>
      <c r="AT8" s="1185" t="s">
        <v>1243</v>
      </c>
      <c r="AU8" s="1184" t="s">
        <v>1243</v>
      </c>
      <c r="AX8" s="1185" t="s">
        <v>1244</v>
      </c>
      <c r="AY8" s="1184" t="s">
        <v>1244</v>
      </c>
      <c r="AZ8" s="1185" t="s">
        <v>1245</v>
      </c>
      <c r="BA8" s="1184" t="s">
        <v>1245</v>
      </c>
      <c r="BB8" s="1185" t="s">
        <v>1246</v>
      </c>
      <c r="BC8" s="1184" t="s">
        <v>1246</v>
      </c>
      <c r="BD8" s="1185" t="s">
        <v>1247</v>
      </c>
      <c r="BE8" s="1184" t="s">
        <v>1247</v>
      </c>
      <c r="BF8" s="1185" t="s">
        <v>1248</v>
      </c>
      <c r="BG8" s="1184" t="s">
        <v>1248</v>
      </c>
      <c r="BH8" s="1185" t="s">
        <v>1249</v>
      </c>
      <c r="BI8" s="1184" t="s">
        <v>1249</v>
      </c>
      <c r="BJ8" s="1185" t="s">
        <v>1191</v>
      </c>
      <c r="BK8" s="1184" t="s">
        <v>1191</v>
      </c>
      <c r="BL8" s="1185" t="s">
        <v>1192</v>
      </c>
      <c r="BM8" s="1184" t="s">
        <v>1192</v>
      </c>
      <c r="BR8" s="1185" t="s">
        <v>1195</v>
      </c>
      <c r="BS8" s="1184" t="s">
        <v>1195</v>
      </c>
      <c r="BT8" s="1185" t="s">
        <v>1196</v>
      </c>
      <c r="BU8" s="1184" t="s">
        <v>1196</v>
      </c>
      <c r="BV8" s="1185" t="s">
        <v>1197</v>
      </c>
      <c r="BW8" s="1184" t="s">
        <v>1197</v>
      </c>
      <c r="BX8" s="1185" t="s">
        <v>1250</v>
      </c>
      <c r="BY8" s="1184" t="s">
        <v>1250</v>
      </c>
      <c r="BZ8" s="1185" t="s">
        <v>1199</v>
      </c>
      <c r="CA8" s="1184" t="s">
        <v>1199</v>
      </c>
      <c r="CB8" s="1185" t="s">
        <v>1200</v>
      </c>
      <c r="CC8" s="1184" t="s">
        <v>1200</v>
      </c>
      <c r="CF8" s="1185" t="s">
        <v>1202</v>
      </c>
      <c r="CG8" s="1184" t="s">
        <v>1202</v>
      </c>
      <c r="CH8" s="1185" t="s">
        <v>1203</v>
      </c>
      <c r="CI8" s="1184" t="s">
        <v>1203</v>
      </c>
      <c r="CJ8" s="1185" t="s">
        <v>1204</v>
      </c>
      <c r="CK8" s="1184" t="s">
        <v>1204</v>
      </c>
      <c r="CL8" s="1185" t="s">
        <v>1205</v>
      </c>
      <c r="CM8" s="1184" t="s">
        <v>1205</v>
      </c>
      <c r="CN8" s="1185" t="s">
        <v>1206</v>
      </c>
      <c r="CO8" s="1184" t="s">
        <v>1207</v>
      </c>
      <c r="CP8" s="1185" t="s">
        <v>1208</v>
      </c>
      <c r="CQ8" s="1184" t="s">
        <v>1208</v>
      </c>
      <c r="CR8" s="1185" t="s">
        <v>1209</v>
      </c>
      <c r="CS8" s="1184" t="s">
        <v>1209</v>
      </c>
      <c r="CT8" s="1185" t="s">
        <v>1210</v>
      </c>
      <c r="CU8" s="1184" t="s">
        <v>1210</v>
      </c>
      <c r="CV8" s="1185" t="s">
        <v>1211</v>
      </c>
      <c r="CW8" s="1184" t="s">
        <v>1211</v>
      </c>
      <c r="CX8" s="1185" t="s">
        <v>1251</v>
      </c>
      <c r="CY8" s="1184" t="s">
        <v>1251</v>
      </c>
      <c r="CZ8" s="1185" t="s">
        <v>1252</v>
      </c>
      <c r="DA8" s="1184" t="s">
        <v>1252</v>
      </c>
      <c r="DB8" s="1185" t="s">
        <v>1253</v>
      </c>
      <c r="DC8" s="1184" t="s">
        <v>1253</v>
      </c>
      <c r="DD8" s="1185" t="s">
        <v>1254</v>
      </c>
      <c r="DE8" s="1184" t="s">
        <v>1254</v>
      </c>
      <c r="DF8" s="1185" t="s">
        <v>1255</v>
      </c>
      <c r="DG8" s="1184" t="s">
        <v>1255</v>
      </c>
      <c r="DH8" s="1185" t="s">
        <v>1256</v>
      </c>
      <c r="DI8" s="1184" t="s">
        <v>1256</v>
      </c>
      <c r="DJ8" s="1188"/>
      <c r="DL8" s="1189"/>
    </row>
    <row r="9" spans="10:114" s="1184" customFormat="1" ht="15" customHeight="1">
      <c r="J9" s="1187"/>
      <c r="K9" s="1187"/>
      <c r="DJ9" s="1193"/>
    </row>
    <row r="10" spans="1:116" s="1194" customFormat="1" ht="26.25" customHeight="1">
      <c r="A10" s="1194" t="s">
        <v>1257</v>
      </c>
      <c r="B10" s="1205">
        <f>AVERAGE(B3,B6)</f>
        <v>4139322.8649999993</v>
      </c>
      <c r="C10" s="1205">
        <f aca="true" t="shared" si="0" ref="C10:BN10">AVERAGE(C3,C6)</f>
        <v>16382826.665</v>
      </c>
      <c r="D10" s="1205">
        <f t="shared" si="0"/>
        <v>6832.71</v>
      </c>
      <c r="E10" s="1205">
        <f t="shared" si="0"/>
        <v>354713.26499999996</v>
      </c>
      <c r="F10" s="1205">
        <f t="shared" si="0"/>
        <v>14506.38</v>
      </c>
      <c r="G10" s="1205">
        <f t="shared" si="0"/>
        <v>232351.52</v>
      </c>
      <c r="H10" s="1205">
        <f t="shared" si="0"/>
        <v>3040838.795</v>
      </c>
      <c r="I10" s="1205">
        <f t="shared" si="0"/>
        <v>5711399.425000003</v>
      </c>
      <c r="J10" s="1205">
        <f t="shared" si="0"/>
        <v>58497.54499999999</v>
      </c>
      <c r="K10" s="1205">
        <f t="shared" si="0"/>
        <v>842263.165</v>
      </c>
      <c r="L10" s="1205">
        <f t="shared" si="0"/>
        <v>63330.455</v>
      </c>
      <c r="M10" s="1205">
        <f t="shared" si="0"/>
        <v>534813.0750000002</v>
      </c>
      <c r="N10" s="1205">
        <f t="shared" si="0"/>
        <v>331788.85</v>
      </c>
      <c r="O10" s="1205">
        <f t="shared" si="0"/>
        <v>255860.11499999993</v>
      </c>
      <c r="P10" s="1205">
        <f t="shared" si="0"/>
        <v>509033.135</v>
      </c>
      <c r="Q10" s="1205">
        <f t="shared" si="0"/>
        <v>2528128.0550000006</v>
      </c>
      <c r="R10" s="1205">
        <f t="shared" si="0"/>
        <v>39839.814999999995</v>
      </c>
      <c r="S10" s="1205">
        <f t="shared" si="0"/>
        <v>730538.2249999999</v>
      </c>
      <c r="T10" s="1205">
        <f t="shared" si="0"/>
        <v>51511.205</v>
      </c>
      <c r="U10" s="1205">
        <f t="shared" si="0"/>
        <v>80520.87</v>
      </c>
      <c r="V10" s="1205">
        <f t="shared" si="0"/>
        <v>184528.84000000003</v>
      </c>
      <c r="W10" s="1205">
        <f t="shared" si="0"/>
        <v>1156972.83</v>
      </c>
      <c r="X10" s="1205">
        <f t="shared" si="0"/>
        <v>88801.45499999999</v>
      </c>
      <c r="Y10" s="1205">
        <f t="shared" si="0"/>
        <v>207497.51</v>
      </c>
      <c r="Z10" s="1205">
        <f t="shared" si="0"/>
        <v>1250320.8850000002</v>
      </c>
      <c r="AA10" s="1205">
        <f t="shared" si="0"/>
        <v>2719320.8100000005</v>
      </c>
      <c r="AB10" s="1205">
        <f t="shared" si="0"/>
        <v>29090.195</v>
      </c>
      <c r="AC10" s="1205">
        <f t="shared" si="0"/>
        <v>43277.16</v>
      </c>
      <c r="AD10" s="1205">
        <f t="shared" si="0"/>
        <v>13667.305</v>
      </c>
      <c r="AE10" s="1205">
        <f t="shared" si="0"/>
        <v>124311.59999999998</v>
      </c>
      <c r="AF10" s="1205">
        <f t="shared" si="0"/>
        <v>21636.95</v>
      </c>
      <c r="AG10" s="1205">
        <f t="shared" si="0"/>
        <v>85020.15999999999</v>
      </c>
      <c r="AH10" s="1205">
        <f t="shared" si="0"/>
        <v>23047.644999999997</v>
      </c>
      <c r="AI10" s="1205">
        <f t="shared" si="0"/>
        <v>46268.125</v>
      </c>
      <c r="AJ10" s="1205">
        <f t="shared" si="0"/>
        <v>662301.9300000002</v>
      </c>
      <c r="AK10" s="1205">
        <f t="shared" si="0"/>
        <v>1491735.9499999997</v>
      </c>
      <c r="AL10" s="1205">
        <f t="shared" si="0"/>
        <v>602719.48</v>
      </c>
      <c r="AM10" s="1205">
        <f t="shared" si="0"/>
        <v>6613616.43</v>
      </c>
      <c r="AN10" s="1205">
        <f t="shared" si="0"/>
        <v>107757.28500000002</v>
      </c>
      <c r="AO10" s="1205">
        <f t="shared" si="0"/>
        <v>939288.7150000001</v>
      </c>
      <c r="AP10" s="1205">
        <f t="shared" si="0"/>
        <v>130542.29500000001</v>
      </c>
      <c r="AQ10" s="1205">
        <f t="shared" si="0"/>
        <v>1126915.6850000003</v>
      </c>
      <c r="AR10" s="1205">
        <f t="shared" si="0"/>
        <v>318344.2100000001</v>
      </c>
      <c r="AS10" s="1205">
        <f t="shared" si="0"/>
        <v>3913947.325</v>
      </c>
      <c r="AT10" s="1205">
        <f t="shared" si="0"/>
        <v>249078.34</v>
      </c>
      <c r="AU10" s="1205">
        <f t="shared" si="0"/>
        <v>830248.5149999999</v>
      </c>
      <c r="AV10" s="1205">
        <f t="shared" si="0"/>
        <v>1005741.165</v>
      </c>
      <c r="AW10" s="1205">
        <f t="shared" si="0"/>
        <v>12153408.395000005</v>
      </c>
      <c r="AX10" s="1195">
        <f t="shared" si="0"/>
        <v>232109.03499999997</v>
      </c>
      <c r="AY10" s="1195">
        <f t="shared" si="0"/>
        <v>475203.485</v>
      </c>
      <c r="AZ10" s="1205">
        <f t="shared" si="0"/>
        <v>602387.315</v>
      </c>
      <c r="BA10" s="1205">
        <f t="shared" si="0"/>
        <v>2279933.3720000004</v>
      </c>
      <c r="BB10" s="1205">
        <f t="shared" si="0"/>
        <v>35594.4</v>
      </c>
      <c r="BC10" s="1205">
        <f t="shared" si="0"/>
        <v>425579.96499999997</v>
      </c>
      <c r="BD10" s="1205">
        <f t="shared" si="0"/>
        <v>4848.325000000001</v>
      </c>
      <c r="BE10" s="1205">
        <f t="shared" si="0"/>
        <v>50572.45500000001</v>
      </c>
      <c r="BF10" s="1205">
        <f t="shared" si="0"/>
        <v>285184</v>
      </c>
      <c r="BG10" s="1205">
        <f t="shared" si="0"/>
        <v>754818.9299999999</v>
      </c>
      <c r="BH10" s="1205">
        <f t="shared" si="0"/>
        <v>176986.69999999998</v>
      </c>
      <c r="BI10" s="1205">
        <f t="shared" si="0"/>
        <v>135169.08000000002</v>
      </c>
      <c r="BJ10" s="1205">
        <f t="shared" si="0"/>
        <v>69606.1</v>
      </c>
      <c r="BK10" s="1205">
        <f t="shared" si="0"/>
        <v>56231.005000000005</v>
      </c>
      <c r="BL10" s="1205">
        <f t="shared" si="0"/>
        <v>6208.575</v>
      </c>
      <c r="BM10" s="1205">
        <f t="shared" si="0"/>
        <v>5963.925</v>
      </c>
      <c r="BN10" s="1205">
        <f t="shared" si="0"/>
        <v>205884.97499999998</v>
      </c>
      <c r="BO10" s="1205">
        <f aca="true" t="shared" si="1" ref="BO10:DL10">AVERAGE(BO3,BO6)</f>
        <v>162698.14500000002</v>
      </c>
      <c r="BP10" s="1205">
        <f t="shared" si="1"/>
        <v>8004.945</v>
      </c>
      <c r="BQ10" s="1205">
        <f t="shared" si="1"/>
        <v>12836.35</v>
      </c>
      <c r="BR10" s="1205">
        <f t="shared" si="1"/>
        <v>9898.75</v>
      </c>
      <c r="BS10" s="1205">
        <f t="shared" si="1"/>
        <v>1555.56</v>
      </c>
      <c r="BT10" s="1205">
        <f t="shared" si="1"/>
        <v>6432.615</v>
      </c>
      <c r="BU10" s="1205">
        <f t="shared" si="1"/>
        <v>71478.385</v>
      </c>
      <c r="BV10" s="1205">
        <f t="shared" si="1"/>
        <v>0</v>
      </c>
      <c r="BW10" s="1205">
        <f t="shared" si="1"/>
        <v>4467.225</v>
      </c>
      <c r="BX10" s="1205">
        <f t="shared" si="1"/>
        <v>3600211.425</v>
      </c>
      <c r="BY10" s="1205">
        <f t="shared" si="1"/>
        <v>36142190.41999998</v>
      </c>
      <c r="BZ10" s="1205">
        <f t="shared" si="1"/>
        <v>94201.44</v>
      </c>
      <c r="CA10" s="1205">
        <f t="shared" si="1"/>
        <v>286711.90499999997</v>
      </c>
      <c r="CB10" s="1205">
        <f t="shared" si="1"/>
        <v>9979.52</v>
      </c>
      <c r="CC10" s="1205">
        <f t="shared" si="1"/>
        <v>1858031.17</v>
      </c>
      <c r="CD10" s="1205">
        <f t="shared" si="1"/>
        <v>150867.03</v>
      </c>
      <c r="CE10" s="1205">
        <f t="shared" si="1"/>
        <v>1153414.4449999998</v>
      </c>
      <c r="CF10" s="1205">
        <f t="shared" si="1"/>
        <v>22060.075</v>
      </c>
      <c r="CG10" s="1205">
        <f t="shared" si="1"/>
        <v>2249704.675</v>
      </c>
      <c r="CH10" s="1205">
        <f t="shared" si="1"/>
        <v>133183.215</v>
      </c>
      <c r="CI10" s="1205">
        <f t="shared" si="1"/>
        <v>1479486.9450000003</v>
      </c>
      <c r="CJ10" s="1205">
        <f t="shared" si="1"/>
        <v>72584.81999999999</v>
      </c>
      <c r="CK10" s="1205">
        <f t="shared" si="1"/>
        <v>344219.61</v>
      </c>
      <c r="CL10" s="1205">
        <f t="shared" si="1"/>
        <v>43641.994999999995</v>
      </c>
      <c r="CM10" s="1205">
        <f t="shared" si="1"/>
        <v>469171.3749999999</v>
      </c>
      <c r="CN10" s="1205">
        <f t="shared" si="1"/>
        <v>160999.25499999998</v>
      </c>
      <c r="CO10" s="1205">
        <f t="shared" si="1"/>
        <v>168145.34</v>
      </c>
      <c r="CP10" s="1205">
        <f t="shared" si="1"/>
        <v>59852.385</v>
      </c>
      <c r="CQ10" s="1205">
        <f t="shared" si="1"/>
        <v>305361.49000000005</v>
      </c>
      <c r="CR10" s="1205">
        <f t="shared" si="1"/>
        <v>101668.42000000001</v>
      </c>
      <c r="CS10" s="1205">
        <f t="shared" si="1"/>
        <v>239240.91</v>
      </c>
      <c r="CT10" s="1205">
        <f t="shared" si="1"/>
        <v>124335.79499999998</v>
      </c>
      <c r="CU10" s="1205">
        <f t="shared" si="1"/>
        <v>782274.3499999999</v>
      </c>
      <c r="CV10" s="1205">
        <f t="shared" si="1"/>
        <v>12639.57</v>
      </c>
      <c r="CW10" s="1205">
        <f t="shared" si="1"/>
        <v>366987.75000000006</v>
      </c>
      <c r="CX10" s="1195">
        <f t="shared" si="1"/>
        <v>1235445.0050000001</v>
      </c>
      <c r="CY10" s="1195">
        <f t="shared" si="1"/>
        <v>8130258.675000003</v>
      </c>
      <c r="CZ10" s="1205">
        <f t="shared" si="1"/>
        <v>53089.235</v>
      </c>
      <c r="DA10" s="1205">
        <f t="shared" si="1"/>
        <v>60524.61</v>
      </c>
      <c r="DB10" s="1205">
        <f t="shared" si="1"/>
        <v>44269.52</v>
      </c>
      <c r="DC10" s="1205">
        <f t="shared" si="1"/>
        <v>460332.6549999999</v>
      </c>
      <c r="DD10" s="1205">
        <f t="shared" si="1"/>
        <v>341469.96</v>
      </c>
      <c r="DE10" s="1205">
        <f t="shared" si="1"/>
        <v>657180.45</v>
      </c>
      <c r="DF10" s="1195">
        <f t="shared" si="1"/>
        <v>901521.5149999999</v>
      </c>
      <c r="DG10" s="1195">
        <f t="shared" si="1"/>
        <v>4727145.710000001</v>
      </c>
      <c r="DH10" s="1195">
        <f t="shared" si="1"/>
        <v>18738.5</v>
      </c>
      <c r="DI10" s="1195">
        <f t="shared" si="1"/>
        <v>282510.605</v>
      </c>
      <c r="DJ10" s="1195">
        <f t="shared" si="1"/>
        <v>21766984.15</v>
      </c>
      <c r="DK10" s="1195">
        <f t="shared" si="1"/>
        <v>123704644.56199998</v>
      </c>
      <c r="DL10" s="1195">
        <f t="shared" si="1"/>
        <v>145471628.712</v>
      </c>
    </row>
    <row r="11" spans="10:114" s="1184" customFormat="1" ht="15" customHeight="1">
      <c r="J11" s="1187"/>
      <c r="K11" s="1187"/>
      <c r="BX11" s="1212">
        <v>1480678.93</v>
      </c>
      <c r="BY11" s="1212">
        <v>7944631.95</v>
      </c>
      <c r="CI11" s="1187"/>
      <c r="DJ11" s="1193"/>
    </row>
    <row r="12" spans="1:116" s="1190" customFormat="1" ht="15" customHeight="1">
      <c r="A12" s="1190" t="s">
        <v>1258</v>
      </c>
      <c r="B12" s="1190">
        <v>3509772.0599999987</v>
      </c>
      <c r="C12" s="1190">
        <v>8129589.759999998</v>
      </c>
      <c r="D12" s="1190">
        <v>4476.71</v>
      </c>
      <c r="E12" s="1190">
        <v>150427.21000000002</v>
      </c>
      <c r="F12" s="1190">
        <v>10292.76</v>
      </c>
      <c r="G12" s="1190">
        <v>411601.36999999994</v>
      </c>
      <c r="H12" s="1190">
        <v>1386328.6199999999</v>
      </c>
      <c r="I12" s="1190">
        <v>2860635.4400000004</v>
      </c>
      <c r="J12" s="1190">
        <v>91688.74000000002</v>
      </c>
      <c r="K12" s="1190">
        <v>652711.2699999997</v>
      </c>
      <c r="L12" s="1190">
        <v>70752.14999999998</v>
      </c>
      <c r="M12" s="1190">
        <v>586631.25</v>
      </c>
      <c r="N12" s="1190">
        <v>200020.19999999998</v>
      </c>
      <c r="O12" s="1190">
        <v>387391.5500000001</v>
      </c>
      <c r="P12" s="1190">
        <v>309396.8599999999</v>
      </c>
      <c r="Q12" s="1190">
        <v>1684875.469999999</v>
      </c>
      <c r="R12" s="1190">
        <v>39797.590000000004</v>
      </c>
      <c r="S12" s="1190">
        <v>664408.23</v>
      </c>
      <c r="T12" s="1190">
        <v>34287.26</v>
      </c>
      <c r="U12" s="1190">
        <v>16855.69</v>
      </c>
      <c r="V12" s="1190">
        <v>109933.76</v>
      </c>
      <c r="W12" s="1190">
        <v>289663.61000000004</v>
      </c>
      <c r="X12" s="1190">
        <v>67321.29000000001</v>
      </c>
      <c r="Y12" s="1190">
        <v>253010.89000000007</v>
      </c>
      <c r="Z12" s="1190">
        <v>603555.21</v>
      </c>
      <c r="AA12" s="1190">
        <v>1656786.95</v>
      </c>
      <c r="AB12" s="1190">
        <v>103576.33</v>
      </c>
      <c r="AC12" s="1190">
        <v>6956.72</v>
      </c>
      <c r="AD12" s="1190">
        <v>15741.17</v>
      </c>
      <c r="AE12" s="1190">
        <v>195810.96000000002</v>
      </c>
      <c r="AH12" s="1190">
        <v>35777.15000000001</v>
      </c>
      <c r="AI12" s="1190">
        <v>85593.26999999999</v>
      </c>
      <c r="AJ12" s="1190">
        <v>148545.74000000002</v>
      </c>
      <c r="AK12" s="1190">
        <v>758967.6099999996</v>
      </c>
      <c r="AL12" s="1190">
        <v>880795.3100000002</v>
      </c>
      <c r="AM12" s="1190">
        <v>8738871.040000001</v>
      </c>
      <c r="AN12" s="1190">
        <v>250555.56999999998</v>
      </c>
      <c r="AO12" s="1190">
        <v>1101672.7899999996</v>
      </c>
      <c r="AP12" s="1190">
        <v>192987.03999999998</v>
      </c>
      <c r="AQ12" s="1190">
        <v>666188.8700000001</v>
      </c>
      <c r="AR12" s="1190">
        <v>887426.7699999998</v>
      </c>
      <c r="AS12" s="1190">
        <v>3185245.0100000002</v>
      </c>
      <c r="AT12" s="1190">
        <v>186724.65999999997</v>
      </c>
      <c r="AU12" s="1190">
        <v>528748.5399999999</v>
      </c>
      <c r="AX12" s="1190">
        <v>550737.14</v>
      </c>
      <c r="AY12" s="1190">
        <v>312135.6599999999</v>
      </c>
      <c r="AZ12" s="1190">
        <v>381848.72000000003</v>
      </c>
      <c r="BA12" s="1190">
        <v>1764952.6899999995</v>
      </c>
      <c r="BB12" s="1190">
        <v>36572.74999999999</v>
      </c>
      <c r="BC12" s="1190">
        <v>526377.45</v>
      </c>
      <c r="BD12" s="1190">
        <v>1233.79</v>
      </c>
      <c r="BE12" s="1190">
        <v>56092.020000000004</v>
      </c>
      <c r="BF12" s="1190">
        <v>97322.43</v>
      </c>
      <c r="BG12" s="1190">
        <v>468300.5100000001</v>
      </c>
      <c r="BH12" s="1190">
        <v>45317.5</v>
      </c>
      <c r="BI12" s="1190">
        <v>135191.34999999998</v>
      </c>
      <c r="BJ12" s="1190">
        <v>37482.44</v>
      </c>
      <c r="BK12" s="1190">
        <v>43928.11</v>
      </c>
      <c r="BL12" s="1190">
        <v>82926</v>
      </c>
      <c r="BM12" s="1190">
        <v>24353.35</v>
      </c>
      <c r="BR12" s="1190">
        <v>2271.13</v>
      </c>
      <c r="BS12" s="1190">
        <v>1511.48</v>
      </c>
      <c r="BT12" s="1190">
        <v>4287.84</v>
      </c>
      <c r="BU12" s="1190">
        <v>137972.22</v>
      </c>
      <c r="BV12" s="1190">
        <v>0</v>
      </c>
      <c r="BW12" s="1190">
        <v>0</v>
      </c>
      <c r="BX12" s="1190">
        <v>3397596.6099999994</v>
      </c>
      <c r="BY12" s="1190">
        <v>34493021.88999998</v>
      </c>
      <c r="BZ12" s="1190">
        <v>75593.42000000001</v>
      </c>
      <c r="CA12" s="1190">
        <v>362615.63999999996</v>
      </c>
      <c r="CB12" s="1190">
        <v>119469.41</v>
      </c>
      <c r="CC12" s="1190">
        <v>2374907.62</v>
      </c>
      <c r="CF12" s="1190">
        <v>61189.43</v>
      </c>
      <c r="CG12" s="1190">
        <v>2057228.9999999998</v>
      </c>
      <c r="CH12" s="1190">
        <v>106289.84</v>
      </c>
      <c r="CI12" s="1190">
        <v>649698.6099999999</v>
      </c>
      <c r="CJ12" s="1190">
        <v>56714.12</v>
      </c>
      <c r="CK12" s="1190">
        <v>414287.38</v>
      </c>
      <c r="CL12" s="1190">
        <v>76253.61</v>
      </c>
      <c r="CM12" s="1190">
        <v>431564.1999999999</v>
      </c>
      <c r="CN12" s="1190">
        <v>35952.469999999994</v>
      </c>
      <c r="CO12" s="1190">
        <v>389577.73</v>
      </c>
      <c r="CP12" s="1190">
        <v>33316.2</v>
      </c>
      <c r="CQ12" s="1190">
        <v>202795.58999999994</v>
      </c>
      <c r="CR12" s="1190">
        <v>74627.34000000001</v>
      </c>
      <c r="CS12" s="1190">
        <v>266560.84</v>
      </c>
      <c r="CT12" s="1190">
        <v>79768.82</v>
      </c>
      <c r="CU12" s="1190">
        <v>445180.45999999996</v>
      </c>
      <c r="CV12" s="1190">
        <v>14079.320000000002</v>
      </c>
      <c r="CW12" s="1190">
        <v>181303.31000000003</v>
      </c>
      <c r="CX12" s="1190">
        <v>528516.8299999998</v>
      </c>
      <c r="CY12" s="1190">
        <v>7839458.409999998</v>
      </c>
      <c r="CZ12" s="1190">
        <v>64362.8</v>
      </c>
      <c r="DA12" s="1190">
        <v>21352.920000000002</v>
      </c>
      <c r="DB12" s="1190">
        <v>27480.789999999997</v>
      </c>
      <c r="DC12" s="1190">
        <v>78508.99</v>
      </c>
      <c r="DD12" s="1190">
        <v>277520.53</v>
      </c>
      <c r="DE12" s="1190">
        <v>609036.8099999999</v>
      </c>
      <c r="DF12" s="1190">
        <v>447032.39</v>
      </c>
      <c r="DG12" s="1190">
        <v>1704748.4600000004</v>
      </c>
      <c r="DH12" s="1190">
        <v>8609.5</v>
      </c>
      <c r="DI12" s="1190">
        <v>122992.28000000001</v>
      </c>
      <c r="DJ12" s="1190">
        <v>16278712.099999992</v>
      </c>
      <c r="DK12" s="1190">
        <v>90882641.82</v>
      </c>
      <c r="DL12" s="1190">
        <v>107161353.92000003</v>
      </c>
    </row>
    <row r="13" spans="1:116" s="1181" customFormat="1" ht="60" hidden="1">
      <c r="A13" s="1181" t="s">
        <v>352</v>
      </c>
      <c r="B13" s="1182" t="s">
        <v>1222</v>
      </c>
      <c r="C13" s="1181" t="s">
        <v>1223</v>
      </c>
      <c r="D13" s="1182" t="s">
        <v>1049</v>
      </c>
      <c r="E13" s="1181" t="s">
        <v>1050</v>
      </c>
      <c r="F13" s="1182" t="s">
        <v>1051</v>
      </c>
      <c r="G13" s="1181" t="s">
        <v>1052</v>
      </c>
      <c r="H13" s="1182" t="s">
        <v>1053</v>
      </c>
      <c r="I13" s="1181" t="s">
        <v>1054</v>
      </c>
      <c r="J13" s="1182" t="s">
        <v>1055</v>
      </c>
      <c r="K13" s="1181" t="s">
        <v>1056</v>
      </c>
      <c r="L13" s="1182" t="s">
        <v>1057</v>
      </c>
      <c r="M13" s="1181" t="s">
        <v>1058</v>
      </c>
      <c r="N13" s="1182" t="s">
        <v>1059</v>
      </c>
      <c r="O13" s="1181" t="s">
        <v>1060</v>
      </c>
      <c r="P13" s="1182" t="s">
        <v>1061</v>
      </c>
      <c r="Q13" s="1181" t="s">
        <v>1062</v>
      </c>
      <c r="R13" s="1182" t="s">
        <v>1063</v>
      </c>
      <c r="S13" s="1181" t="s">
        <v>1064</v>
      </c>
      <c r="T13" s="1182" t="s">
        <v>1065</v>
      </c>
      <c r="U13" s="1181" t="s">
        <v>1066</v>
      </c>
      <c r="V13" s="1182" t="s">
        <v>1224</v>
      </c>
      <c r="W13" s="1181" t="s">
        <v>1225</v>
      </c>
      <c r="X13" s="1182" t="s">
        <v>1069</v>
      </c>
      <c r="Y13" s="1181" t="s">
        <v>1070</v>
      </c>
      <c r="Z13" s="1182" t="s">
        <v>1071</v>
      </c>
      <c r="AA13" s="1181" t="s">
        <v>1072</v>
      </c>
      <c r="AB13" s="1182" t="s">
        <v>1073</v>
      </c>
      <c r="AC13" s="1181" t="s">
        <v>1074</v>
      </c>
      <c r="AD13" s="1182" t="s">
        <v>1075</v>
      </c>
      <c r="AE13" s="1181" t="s">
        <v>1076</v>
      </c>
      <c r="AH13" s="1182" t="s">
        <v>1079</v>
      </c>
      <c r="AI13" s="1181" t="s">
        <v>1080</v>
      </c>
      <c r="AJ13" s="1182" t="s">
        <v>1081</v>
      </c>
      <c r="AK13" s="1181" t="s">
        <v>1082</v>
      </c>
      <c r="AL13" s="1182" t="s">
        <v>1083</v>
      </c>
      <c r="AM13" s="1181" t="s">
        <v>1084</v>
      </c>
      <c r="AN13" s="1182" t="s">
        <v>1085</v>
      </c>
      <c r="AO13" s="1181" t="s">
        <v>1086</v>
      </c>
      <c r="AP13" s="1182" t="s">
        <v>1087</v>
      </c>
      <c r="AQ13" s="1181" t="s">
        <v>1088</v>
      </c>
      <c r="AR13" s="1182" t="s">
        <v>1089</v>
      </c>
      <c r="AS13" s="1181" t="s">
        <v>1090</v>
      </c>
      <c r="AT13" s="1182" t="s">
        <v>1091</v>
      </c>
      <c r="AU13" s="1181" t="s">
        <v>1092</v>
      </c>
      <c r="AX13" s="1182" t="s">
        <v>1095</v>
      </c>
      <c r="AY13" s="1181" t="s">
        <v>1096</v>
      </c>
      <c r="AZ13" s="1182" t="s">
        <v>1097</v>
      </c>
      <c r="BA13" s="1181" t="s">
        <v>1098</v>
      </c>
      <c r="BB13" s="1182" t="s">
        <v>1099</v>
      </c>
      <c r="BC13" s="1181" t="s">
        <v>1100</v>
      </c>
      <c r="BD13" s="1182" t="s">
        <v>1101</v>
      </c>
      <c r="BE13" s="1181" t="s">
        <v>1102</v>
      </c>
      <c r="BF13" s="1182" t="s">
        <v>1103</v>
      </c>
      <c r="BG13" s="1181" t="s">
        <v>1104</v>
      </c>
      <c r="BH13" s="1182" t="s">
        <v>1105</v>
      </c>
      <c r="BI13" s="1181" t="s">
        <v>1106</v>
      </c>
      <c r="BJ13" s="1182" t="s">
        <v>1107</v>
      </c>
      <c r="BK13" s="1181" t="s">
        <v>1108</v>
      </c>
      <c r="BL13" s="1182" t="s">
        <v>1226</v>
      </c>
      <c r="BM13" s="1181" t="s">
        <v>1227</v>
      </c>
      <c r="BR13" s="1182" t="s">
        <v>1115</v>
      </c>
      <c r="BS13" s="1181" t="s">
        <v>1116</v>
      </c>
      <c r="BT13" s="1182" t="s">
        <v>1117</v>
      </c>
      <c r="BU13" s="1181" t="s">
        <v>1118</v>
      </c>
      <c r="BV13" s="1182" t="s">
        <v>1119</v>
      </c>
      <c r="BW13" s="1181" t="s">
        <v>1120</v>
      </c>
      <c r="BX13" s="1182" t="s">
        <v>1228</v>
      </c>
      <c r="BY13" s="1181" t="s">
        <v>1229</v>
      </c>
      <c r="BZ13" s="1182" t="s">
        <v>1123</v>
      </c>
      <c r="CA13" s="1181" t="s">
        <v>1124</v>
      </c>
      <c r="CB13" s="1182" t="s">
        <v>1125</v>
      </c>
      <c r="CC13" s="1181" t="s">
        <v>1126</v>
      </c>
      <c r="CF13" s="1182" t="s">
        <v>1129</v>
      </c>
      <c r="CG13" s="1181" t="s">
        <v>1130</v>
      </c>
      <c r="CH13" s="1182" t="s">
        <v>1131</v>
      </c>
      <c r="CI13" s="1181" t="s">
        <v>1132</v>
      </c>
      <c r="CJ13" s="1182" t="s">
        <v>1133</v>
      </c>
      <c r="CK13" s="1181" t="s">
        <v>1134</v>
      </c>
      <c r="CL13" s="1182" t="s">
        <v>1135</v>
      </c>
      <c r="CM13" s="1181" t="s">
        <v>1136</v>
      </c>
      <c r="CN13" s="1182" t="s">
        <v>1137</v>
      </c>
      <c r="CO13" s="1181" t="s">
        <v>1138</v>
      </c>
      <c r="CP13" s="1182" t="s">
        <v>1139</v>
      </c>
      <c r="CQ13" s="1181" t="s">
        <v>1140</v>
      </c>
      <c r="CR13" s="1182" t="s">
        <v>1141</v>
      </c>
      <c r="CS13" s="1181" t="s">
        <v>1142</v>
      </c>
      <c r="CT13" s="1182" t="s">
        <v>1143</v>
      </c>
      <c r="CU13" s="1181" t="s">
        <v>1144</v>
      </c>
      <c r="CV13" s="1182" t="s">
        <v>1145</v>
      </c>
      <c r="CW13" s="1181" t="s">
        <v>1146</v>
      </c>
      <c r="CX13" s="1182" t="s">
        <v>1147</v>
      </c>
      <c r="CY13" s="1181" t="s">
        <v>1148</v>
      </c>
      <c r="CZ13" s="1182" t="s">
        <v>1149</v>
      </c>
      <c r="DA13" s="1181" t="s">
        <v>1150</v>
      </c>
      <c r="DB13" s="1182" t="s">
        <v>1151</v>
      </c>
      <c r="DC13" s="1181" t="s">
        <v>1152</v>
      </c>
      <c r="DD13" s="1182" t="s">
        <v>1230</v>
      </c>
      <c r="DE13" s="1181" t="s">
        <v>1231</v>
      </c>
      <c r="DF13" s="1182" t="s">
        <v>1154</v>
      </c>
      <c r="DG13" s="1181" t="s">
        <v>1155</v>
      </c>
      <c r="DH13" s="1182" t="s">
        <v>1156</v>
      </c>
      <c r="DI13" s="1181" t="s">
        <v>1157</v>
      </c>
      <c r="DJ13" s="1196" t="s">
        <v>1158</v>
      </c>
      <c r="DK13" s="1181" t="s">
        <v>1159</v>
      </c>
      <c r="DL13" s="1197" t="s">
        <v>1160</v>
      </c>
    </row>
    <row r="14" spans="2:116" s="1184" customFormat="1" ht="49.5" hidden="1">
      <c r="B14" s="1185" t="s">
        <v>1232</v>
      </c>
      <c r="C14" s="1184" t="s">
        <v>1232</v>
      </c>
      <c r="D14" s="1185" t="s">
        <v>1162</v>
      </c>
      <c r="E14" s="1184" t="s">
        <v>1162</v>
      </c>
      <c r="F14" s="1185" t="s">
        <v>1163</v>
      </c>
      <c r="G14" s="1184" t="s">
        <v>1163</v>
      </c>
      <c r="H14" s="1185" t="s">
        <v>1233</v>
      </c>
      <c r="I14" s="1184" t="s">
        <v>1233</v>
      </c>
      <c r="J14" s="1186" t="s">
        <v>1234</v>
      </c>
      <c r="K14" s="1187" t="s">
        <v>1234</v>
      </c>
      <c r="L14" s="1185" t="s">
        <v>1235</v>
      </c>
      <c r="M14" s="1184" t="s">
        <v>1235</v>
      </c>
      <c r="N14" s="1185" t="s">
        <v>1236</v>
      </c>
      <c r="O14" s="1184" t="s">
        <v>1236</v>
      </c>
      <c r="P14" s="1185" t="s">
        <v>1237</v>
      </c>
      <c r="Q14" s="1184" t="s">
        <v>1237</v>
      </c>
      <c r="R14" s="1185" t="s">
        <v>1238</v>
      </c>
      <c r="S14" s="1184" t="s">
        <v>1238</v>
      </c>
      <c r="T14" s="1185" t="s">
        <v>1239</v>
      </c>
      <c r="U14" s="1184" t="s">
        <v>1239</v>
      </c>
      <c r="V14" s="1185" t="s">
        <v>1240</v>
      </c>
      <c r="W14" s="1184" t="s">
        <v>1240</v>
      </c>
      <c r="X14" s="1185" t="s">
        <v>1172</v>
      </c>
      <c r="Y14" s="1184" t="s">
        <v>1172</v>
      </c>
      <c r="Z14" s="1185" t="s">
        <v>1241</v>
      </c>
      <c r="AA14" s="1184" t="s">
        <v>1241</v>
      </c>
      <c r="AB14" s="1185" t="s">
        <v>1174</v>
      </c>
      <c r="AC14" s="1184" t="s">
        <v>1174</v>
      </c>
      <c r="AD14" s="1185" t="s">
        <v>1175</v>
      </c>
      <c r="AE14" s="1184" t="s">
        <v>1175</v>
      </c>
      <c r="AH14" s="1185" t="s">
        <v>1177</v>
      </c>
      <c r="AI14" s="1184" t="s">
        <v>1177</v>
      </c>
      <c r="AJ14" s="1185" t="s">
        <v>1178</v>
      </c>
      <c r="AK14" s="1184" t="s">
        <v>1178</v>
      </c>
      <c r="AL14" s="1185" t="s">
        <v>1242</v>
      </c>
      <c r="AM14" s="1184" t="s">
        <v>1242</v>
      </c>
      <c r="AN14" s="1185" t="s">
        <v>1180</v>
      </c>
      <c r="AO14" s="1184" t="s">
        <v>1180</v>
      </c>
      <c r="AP14" s="1185" t="s">
        <v>1181</v>
      </c>
      <c r="AQ14" s="1184" t="s">
        <v>1181</v>
      </c>
      <c r="AR14" s="1185" t="s">
        <v>1182</v>
      </c>
      <c r="AS14" s="1184" t="s">
        <v>1182</v>
      </c>
      <c r="AT14" s="1185" t="s">
        <v>1243</v>
      </c>
      <c r="AU14" s="1184" t="s">
        <v>1243</v>
      </c>
      <c r="AX14" s="1185" t="s">
        <v>1244</v>
      </c>
      <c r="AY14" s="1184" t="s">
        <v>1244</v>
      </c>
      <c r="AZ14" s="1185" t="s">
        <v>1245</v>
      </c>
      <c r="BA14" s="1184" t="s">
        <v>1245</v>
      </c>
      <c r="BB14" s="1185" t="s">
        <v>1246</v>
      </c>
      <c r="BC14" s="1184" t="s">
        <v>1246</v>
      </c>
      <c r="BD14" s="1185" t="s">
        <v>1247</v>
      </c>
      <c r="BE14" s="1184" t="s">
        <v>1247</v>
      </c>
      <c r="BF14" s="1185" t="s">
        <v>1248</v>
      </c>
      <c r="BG14" s="1184" t="s">
        <v>1248</v>
      </c>
      <c r="BH14" s="1185" t="s">
        <v>1249</v>
      </c>
      <c r="BI14" s="1184" t="s">
        <v>1249</v>
      </c>
      <c r="BJ14" s="1185" t="s">
        <v>1191</v>
      </c>
      <c r="BK14" s="1184" t="s">
        <v>1191</v>
      </c>
      <c r="BL14" s="1185" t="s">
        <v>1192</v>
      </c>
      <c r="BM14" s="1184" t="s">
        <v>1192</v>
      </c>
      <c r="BR14" s="1185" t="s">
        <v>1195</v>
      </c>
      <c r="BS14" s="1184" t="s">
        <v>1195</v>
      </c>
      <c r="BT14" s="1185" t="s">
        <v>1196</v>
      </c>
      <c r="BU14" s="1184" t="s">
        <v>1196</v>
      </c>
      <c r="BV14" s="1185" t="s">
        <v>1197</v>
      </c>
      <c r="BW14" s="1184" t="s">
        <v>1197</v>
      </c>
      <c r="BX14" s="1185" t="s">
        <v>1250</v>
      </c>
      <c r="BY14" s="1184" t="s">
        <v>1250</v>
      </c>
      <c r="BZ14" s="1185" t="s">
        <v>1199</v>
      </c>
      <c r="CA14" s="1184" t="s">
        <v>1199</v>
      </c>
      <c r="CB14" s="1185" t="s">
        <v>1200</v>
      </c>
      <c r="CC14" s="1184" t="s">
        <v>1200</v>
      </c>
      <c r="CF14" s="1185" t="s">
        <v>1202</v>
      </c>
      <c r="CG14" s="1184" t="s">
        <v>1202</v>
      </c>
      <c r="CH14" s="1185" t="s">
        <v>1203</v>
      </c>
      <c r="CI14" s="1184" t="s">
        <v>1203</v>
      </c>
      <c r="CJ14" s="1185" t="s">
        <v>1204</v>
      </c>
      <c r="CK14" s="1184" t="s">
        <v>1204</v>
      </c>
      <c r="CL14" s="1185" t="s">
        <v>1205</v>
      </c>
      <c r="CM14" s="1184" t="s">
        <v>1205</v>
      </c>
      <c r="CN14" s="1185" t="s">
        <v>1206</v>
      </c>
      <c r="CO14" s="1184" t="s">
        <v>1207</v>
      </c>
      <c r="CP14" s="1185" t="s">
        <v>1208</v>
      </c>
      <c r="CQ14" s="1184" t="s">
        <v>1208</v>
      </c>
      <c r="CR14" s="1185" t="s">
        <v>1209</v>
      </c>
      <c r="CS14" s="1184" t="s">
        <v>1209</v>
      </c>
      <c r="CT14" s="1185" t="s">
        <v>1210</v>
      </c>
      <c r="CU14" s="1184" t="s">
        <v>1210</v>
      </c>
      <c r="CV14" s="1185" t="s">
        <v>1211</v>
      </c>
      <c r="CW14" s="1184" t="s">
        <v>1211</v>
      </c>
      <c r="CX14" s="1185" t="s">
        <v>1251</v>
      </c>
      <c r="CY14" s="1184" t="s">
        <v>1251</v>
      </c>
      <c r="CZ14" s="1185" t="s">
        <v>1252</v>
      </c>
      <c r="DA14" s="1184" t="s">
        <v>1252</v>
      </c>
      <c r="DB14" s="1185" t="s">
        <v>1253</v>
      </c>
      <c r="DC14" s="1184" t="s">
        <v>1253</v>
      </c>
      <c r="DD14" s="1185" t="s">
        <v>1254</v>
      </c>
      <c r="DE14" s="1184" t="s">
        <v>1254</v>
      </c>
      <c r="DF14" s="1185" t="s">
        <v>1255</v>
      </c>
      <c r="DG14" s="1184" t="s">
        <v>1255</v>
      </c>
      <c r="DH14" s="1185" t="s">
        <v>1256</v>
      </c>
      <c r="DI14" s="1184" t="s">
        <v>1256</v>
      </c>
      <c r="DJ14" s="1198"/>
      <c r="DL14" s="1199"/>
    </row>
    <row r="15" spans="1:116" s="1190" customFormat="1" ht="15" customHeight="1">
      <c r="A15" s="1190" t="s">
        <v>1259</v>
      </c>
      <c r="B15" s="1190">
        <v>4147863.0999999987</v>
      </c>
      <c r="C15" s="1190">
        <v>6348507.319999999</v>
      </c>
      <c r="D15" s="1190">
        <v>43294.37</v>
      </c>
      <c r="E15" s="1190">
        <v>249956.16999999998</v>
      </c>
      <c r="F15" s="1190">
        <v>64717.62</v>
      </c>
      <c r="G15" s="1190">
        <v>639176.81</v>
      </c>
      <c r="H15" s="1190">
        <v>4810300.37</v>
      </c>
      <c r="I15" s="1190">
        <v>5190786.760000002</v>
      </c>
      <c r="J15" s="1190">
        <v>140712.3</v>
      </c>
      <c r="K15" s="1190">
        <v>804707.9799999999</v>
      </c>
      <c r="L15" s="1190">
        <v>213726.21000000008</v>
      </c>
      <c r="M15" s="1190">
        <v>774275.6300000001</v>
      </c>
      <c r="N15" s="1190">
        <v>443993.44999999995</v>
      </c>
      <c r="O15" s="1190">
        <v>364969.14999999997</v>
      </c>
      <c r="P15" s="1190">
        <v>328203.55</v>
      </c>
      <c r="Q15" s="1190">
        <v>1367976.0400000005</v>
      </c>
      <c r="R15" s="1190">
        <v>54080.94000000002</v>
      </c>
      <c r="S15" s="1190">
        <v>601053.0800000002</v>
      </c>
      <c r="T15" s="1190">
        <v>34197.9</v>
      </c>
      <c r="U15" s="1190">
        <v>131606.17</v>
      </c>
      <c r="V15" s="1190">
        <v>167513.28</v>
      </c>
      <c r="W15" s="1190">
        <v>390503.51</v>
      </c>
      <c r="X15" s="1190">
        <v>102811.35000000002</v>
      </c>
      <c r="Y15" s="1190">
        <v>506542.8000000001</v>
      </c>
      <c r="Z15" s="1190">
        <v>1207791.9400000004</v>
      </c>
      <c r="AA15" s="1190">
        <v>2167816.68</v>
      </c>
      <c r="AB15" s="1190">
        <v>4695.5</v>
      </c>
      <c r="AC15" s="1190">
        <v>76543.2</v>
      </c>
      <c r="AD15" s="1190">
        <v>185336.65</v>
      </c>
      <c r="AE15" s="1190">
        <v>527838.7699999999</v>
      </c>
      <c r="AH15" s="1190">
        <v>24836.62</v>
      </c>
      <c r="AI15" s="1190">
        <v>48810.87000000001</v>
      </c>
      <c r="AJ15" s="1190">
        <v>568751.5900000002</v>
      </c>
      <c r="AK15" s="1190">
        <v>362675.15</v>
      </c>
      <c r="AL15" s="1190">
        <v>1746676.0399999996</v>
      </c>
      <c r="AM15" s="1190">
        <v>7411840.670000002</v>
      </c>
      <c r="AN15" s="1190">
        <v>223054.97999999998</v>
      </c>
      <c r="AO15" s="1190">
        <v>937890.7400000003</v>
      </c>
      <c r="AP15" s="1190">
        <v>132175.68000000002</v>
      </c>
      <c r="AQ15" s="1190">
        <v>1177472.91</v>
      </c>
      <c r="AR15" s="1190">
        <v>403695.7800000001</v>
      </c>
      <c r="AS15" s="1190">
        <v>3109400.23</v>
      </c>
      <c r="AT15" s="1190">
        <v>135545.69</v>
      </c>
      <c r="AU15" s="1190">
        <v>735891.8800000001</v>
      </c>
      <c r="AX15" s="1190">
        <v>106495.28</v>
      </c>
      <c r="AY15" s="1190">
        <v>71725.76</v>
      </c>
      <c r="AZ15" s="1190">
        <v>509161.85000000003</v>
      </c>
      <c r="BA15" s="1190">
        <v>1852357.28</v>
      </c>
      <c r="BB15" s="1190">
        <v>50067.57</v>
      </c>
      <c r="BC15" s="1190">
        <v>548517.8500000001</v>
      </c>
      <c r="BD15" s="1190">
        <v>2870.6800000000003</v>
      </c>
      <c r="BE15" s="1190">
        <v>72234.52999999998</v>
      </c>
      <c r="BF15" s="1190">
        <v>187853.41999999998</v>
      </c>
      <c r="BG15" s="1190">
        <v>253114.58</v>
      </c>
      <c r="BH15" s="1190">
        <v>318983.76</v>
      </c>
      <c r="BI15" s="1190">
        <v>101982.9</v>
      </c>
      <c r="BJ15" s="1190">
        <v>50479.27999999999</v>
      </c>
      <c r="BK15" s="1190">
        <v>53995.04000000001</v>
      </c>
      <c r="BL15" s="1190">
        <v>7322.38</v>
      </c>
      <c r="BM15" s="1190">
        <v>28557.61</v>
      </c>
      <c r="BR15" s="1190">
        <v>0</v>
      </c>
      <c r="BS15" s="1190">
        <v>6853.96</v>
      </c>
      <c r="BT15" s="1190">
        <v>69770.31</v>
      </c>
      <c r="BU15" s="1190">
        <v>229160.63999999998</v>
      </c>
      <c r="BV15" s="1190">
        <v>1099.35</v>
      </c>
      <c r="BW15" s="1190">
        <v>0</v>
      </c>
      <c r="BX15" s="1190">
        <v>2551044.5</v>
      </c>
      <c r="BY15" s="1190">
        <v>29943990.530000005</v>
      </c>
      <c r="BZ15" s="1190">
        <v>75251.47</v>
      </c>
      <c r="CA15" s="1190">
        <v>350971.29000000004</v>
      </c>
      <c r="CB15" s="1190">
        <v>44292.14</v>
      </c>
      <c r="CC15" s="1190">
        <v>1655274.4500000002</v>
      </c>
      <c r="CF15" s="1190">
        <v>85</v>
      </c>
      <c r="CG15" s="1190">
        <v>1694126.7900000003</v>
      </c>
      <c r="CH15" s="1190">
        <v>95340.94000000002</v>
      </c>
      <c r="CI15" s="1190">
        <v>402475.97</v>
      </c>
      <c r="CJ15" s="1190">
        <v>48577.9</v>
      </c>
      <c r="CK15" s="1190">
        <v>187466.57000000004</v>
      </c>
      <c r="CL15" s="1190">
        <v>85495.29</v>
      </c>
      <c r="CM15" s="1190">
        <v>197861.62000000005</v>
      </c>
      <c r="CN15" s="1190">
        <v>81029.43</v>
      </c>
      <c r="CO15" s="1190">
        <v>240593.45999999996</v>
      </c>
      <c r="CP15" s="1190">
        <v>30018.71</v>
      </c>
      <c r="CQ15" s="1190">
        <v>156788.83999999997</v>
      </c>
      <c r="CR15" s="1190">
        <v>86678.04000000001</v>
      </c>
      <c r="CS15" s="1190">
        <v>142046.65999999997</v>
      </c>
      <c r="CT15" s="1190">
        <v>161237.4</v>
      </c>
      <c r="CU15" s="1190">
        <v>185037.41000000003</v>
      </c>
      <c r="CV15" s="1190">
        <v>3960.8300000000004</v>
      </c>
      <c r="CW15" s="1190">
        <v>151116.87000000005</v>
      </c>
      <c r="CX15" s="1190">
        <v>1141397.1399999997</v>
      </c>
      <c r="CY15" s="1190">
        <v>6248904.58</v>
      </c>
      <c r="CZ15" s="1190">
        <v>99489.62000000002</v>
      </c>
      <c r="DA15" s="1190">
        <v>143517.66999999998</v>
      </c>
      <c r="DB15" s="1190">
        <v>38082.420000000006</v>
      </c>
      <c r="DC15" s="1190">
        <v>28162.609999999997</v>
      </c>
      <c r="DD15" s="1190">
        <v>119177.71</v>
      </c>
      <c r="DE15" s="1190">
        <v>199359.36000000004</v>
      </c>
      <c r="DF15" s="1190">
        <v>470840.05</v>
      </c>
      <c r="DG15" s="1190">
        <v>1215590.83</v>
      </c>
      <c r="DH15" s="1190">
        <v>19493.36</v>
      </c>
      <c r="DI15" s="1190">
        <v>172198.96</v>
      </c>
      <c r="DJ15" s="1190">
        <v>22336571.280000005</v>
      </c>
      <c r="DK15" s="1190">
        <v>82922507.36999996</v>
      </c>
      <c r="DL15" s="1190">
        <v>105259078.64999998</v>
      </c>
    </row>
    <row r="16" ht="15"/>
    <row r="17" spans="1:116" s="1203" customFormat="1" ht="25.5">
      <c r="A17" s="1201" t="s">
        <v>1260</v>
      </c>
      <c r="B17" s="1202">
        <f>AVERAGE(B3,B6,B12,B15)</f>
        <v>3984070.222499999</v>
      </c>
      <c r="C17" s="1202">
        <f aca="true" t="shared" si="2" ref="C17:BN17">AVERAGE(C3,C6,C12,C15)</f>
        <v>11810937.6025</v>
      </c>
      <c r="D17" s="1202">
        <f t="shared" si="2"/>
        <v>15359.125</v>
      </c>
      <c r="E17" s="1202">
        <f t="shared" si="2"/>
        <v>277452.4775</v>
      </c>
      <c r="F17" s="1202">
        <f t="shared" si="2"/>
        <v>26005.785</v>
      </c>
      <c r="G17" s="1202">
        <f t="shared" si="2"/>
        <v>378870.305</v>
      </c>
      <c r="H17" s="1202">
        <f t="shared" si="2"/>
        <v>3069576.645</v>
      </c>
      <c r="I17" s="1202">
        <f t="shared" si="2"/>
        <v>4868555.262500002</v>
      </c>
      <c r="J17" s="1202">
        <f t="shared" si="2"/>
        <v>87349.0325</v>
      </c>
      <c r="K17" s="1202">
        <f t="shared" si="2"/>
        <v>785486.3949999999</v>
      </c>
      <c r="L17" s="1202">
        <f t="shared" si="2"/>
        <v>102784.81750000002</v>
      </c>
      <c r="M17" s="1202">
        <f t="shared" si="2"/>
        <v>607633.2575000001</v>
      </c>
      <c r="N17" s="1202">
        <f t="shared" si="2"/>
        <v>326897.83749999997</v>
      </c>
      <c r="O17" s="1202">
        <f t="shared" si="2"/>
        <v>316020.2325</v>
      </c>
      <c r="P17" s="1202">
        <f t="shared" si="2"/>
        <v>413916.67</v>
      </c>
      <c r="Q17" s="1202">
        <f t="shared" si="2"/>
        <v>2027276.9050000003</v>
      </c>
      <c r="R17" s="1202">
        <f t="shared" si="2"/>
        <v>43389.54000000001</v>
      </c>
      <c r="S17" s="1202">
        <f t="shared" si="2"/>
        <v>681634.44</v>
      </c>
      <c r="T17" s="1202">
        <f t="shared" si="2"/>
        <v>42876.8925</v>
      </c>
      <c r="U17" s="1202">
        <f t="shared" si="2"/>
        <v>77375.9</v>
      </c>
      <c r="V17" s="1202">
        <f t="shared" si="2"/>
        <v>161626.18000000002</v>
      </c>
      <c r="W17" s="1202">
        <f t="shared" si="2"/>
        <v>748528.1950000001</v>
      </c>
      <c r="X17" s="1202">
        <f t="shared" si="2"/>
        <v>86933.8875</v>
      </c>
      <c r="Y17" s="1202">
        <f t="shared" si="2"/>
        <v>293637.17750000005</v>
      </c>
      <c r="Z17" s="1202">
        <f t="shared" si="2"/>
        <v>1077997.2300000002</v>
      </c>
      <c r="AA17" s="1202">
        <f t="shared" si="2"/>
        <v>2315811.3125000005</v>
      </c>
      <c r="AB17" s="1202">
        <f t="shared" si="2"/>
        <v>41613.055</v>
      </c>
      <c r="AC17" s="1202">
        <f t="shared" si="2"/>
        <v>42513.56</v>
      </c>
      <c r="AD17" s="1202">
        <f t="shared" si="2"/>
        <v>57103.1075</v>
      </c>
      <c r="AE17" s="1202">
        <f t="shared" si="2"/>
        <v>243068.23249999998</v>
      </c>
      <c r="AF17" s="1202">
        <f t="shared" si="2"/>
        <v>21636.95</v>
      </c>
      <c r="AG17" s="1202">
        <f t="shared" si="2"/>
        <v>85020.15999999999</v>
      </c>
      <c r="AH17" s="1202">
        <f t="shared" si="2"/>
        <v>26677.265</v>
      </c>
      <c r="AI17" s="1202">
        <f t="shared" si="2"/>
        <v>56735.0975</v>
      </c>
      <c r="AJ17" s="1202">
        <f t="shared" si="2"/>
        <v>510475.2975000001</v>
      </c>
      <c r="AK17" s="1202">
        <f t="shared" si="2"/>
        <v>1026278.6649999997</v>
      </c>
      <c r="AL17" s="1202">
        <f t="shared" si="2"/>
        <v>958227.5774999999</v>
      </c>
      <c r="AM17" s="1202">
        <f t="shared" si="2"/>
        <v>7344486.1425</v>
      </c>
      <c r="AN17" s="1202">
        <f t="shared" si="2"/>
        <v>172281.28</v>
      </c>
      <c r="AO17" s="1202">
        <f t="shared" si="2"/>
        <v>979535.24</v>
      </c>
      <c r="AP17" s="1202">
        <f t="shared" si="2"/>
        <v>146561.8275</v>
      </c>
      <c r="AQ17" s="1202">
        <f t="shared" si="2"/>
        <v>1024373.2875000001</v>
      </c>
      <c r="AR17" s="1202">
        <f t="shared" si="2"/>
        <v>481952.7425</v>
      </c>
      <c r="AS17" s="1202">
        <f t="shared" si="2"/>
        <v>3530634.9725</v>
      </c>
      <c r="AT17" s="1202">
        <f t="shared" si="2"/>
        <v>205106.7575</v>
      </c>
      <c r="AU17" s="1202">
        <f t="shared" si="2"/>
        <v>731284.3625</v>
      </c>
      <c r="AV17" s="1202">
        <f t="shared" si="2"/>
        <v>1005741.165</v>
      </c>
      <c r="AW17" s="1202">
        <f t="shared" si="2"/>
        <v>12153408.395000005</v>
      </c>
      <c r="AX17" s="1202">
        <f t="shared" si="2"/>
        <v>280362.6225</v>
      </c>
      <c r="AY17" s="1202">
        <f t="shared" si="2"/>
        <v>333567.0975</v>
      </c>
      <c r="AZ17" s="1202">
        <f t="shared" si="2"/>
        <v>523946.3</v>
      </c>
      <c r="BA17" s="1202">
        <f t="shared" si="2"/>
        <v>2044294.1785000002</v>
      </c>
      <c r="BB17" s="1202">
        <f t="shared" si="2"/>
        <v>39457.28</v>
      </c>
      <c r="BC17" s="1202">
        <f t="shared" si="2"/>
        <v>481513.8075</v>
      </c>
      <c r="BD17" s="1202">
        <f t="shared" si="2"/>
        <v>3450.2800000000007</v>
      </c>
      <c r="BE17" s="1202">
        <f t="shared" si="2"/>
        <v>57367.865000000005</v>
      </c>
      <c r="BF17" s="1202">
        <f t="shared" si="2"/>
        <v>213885.96249999997</v>
      </c>
      <c r="BG17" s="1202">
        <f t="shared" si="2"/>
        <v>557763.2375</v>
      </c>
      <c r="BH17" s="1202">
        <f t="shared" si="2"/>
        <v>179568.66499999998</v>
      </c>
      <c r="BI17" s="1202">
        <f t="shared" si="2"/>
        <v>126878.10250000001</v>
      </c>
      <c r="BJ17" s="1202">
        <f t="shared" si="2"/>
        <v>56793.48</v>
      </c>
      <c r="BK17" s="1202">
        <f t="shared" si="2"/>
        <v>52596.29</v>
      </c>
      <c r="BL17" s="1202">
        <f t="shared" si="2"/>
        <v>25666.3825</v>
      </c>
      <c r="BM17" s="1202">
        <f t="shared" si="2"/>
        <v>16209.7025</v>
      </c>
      <c r="BN17" s="1202">
        <f t="shared" si="2"/>
        <v>205884.97499999998</v>
      </c>
      <c r="BO17" s="1202">
        <f aca="true" t="shared" si="3" ref="BO17:DL17">AVERAGE(BO3,BO6,BO12,BO15)</f>
        <v>162698.14500000002</v>
      </c>
      <c r="BP17" s="1202">
        <f t="shared" si="3"/>
        <v>8004.945</v>
      </c>
      <c r="BQ17" s="1202">
        <f t="shared" si="3"/>
        <v>12836.35</v>
      </c>
      <c r="BR17" s="1202">
        <f t="shared" si="3"/>
        <v>5517.1575</v>
      </c>
      <c r="BS17" s="1202">
        <f t="shared" si="3"/>
        <v>2869.1400000000003</v>
      </c>
      <c r="BT17" s="1202">
        <f t="shared" si="3"/>
        <v>21730.845</v>
      </c>
      <c r="BU17" s="1202">
        <f t="shared" si="3"/>
        <v>127522.4075</v>
      </c>
      <c r="BV17" s="1202">
        <f t="shared" si="3"/>
        <v>274.8375</v>
      </c>
      <c r="BW17" s="1202">
        <f t="shared" si="3"/>
        <v>2233.6125</v>
      </c>
      <c r="BX17" s="1202">
        <f t="shared" si="3"/>
        <v>3287265.9899999998</v>
      </c>
      <c r="BY17" s="1202">
        <f t="shared" si="3"/>
        <v>34180348.31499998</v>
      </c>
      <c r="BZ17" s="1202">
        <f t="shared" si="3"/>
        <v>84811.9425</v>
      </c>
      <c r="CA17" s="1202">
        <f t="shared" si="3"/>
        <v>321752.685</v>
      </c>
      <c r="CB17" s="1202">
        <f t="shared" si="3"/>
        <v>45930.14750000001</v>
      </c>
      <c r="CC17" s="1202">
        <f t="shared" si="3"/>
        <v>1936561.1025</v>
      </c>
      <c r="CD17" s="1202">
        <f t="shared" si="3"/>
        <v>150867.03</v>
      </c>
      <c r="CE17" s="1202">
        <f t="shared" si="3"/>
        <v>1153414.4449999998</v>
      </c>
      <c r="CF17" s="1202">
        <f t="shared" si="3"/>
        <v>26348.645</v>
      </c>
      <c r="CG17" s="1202">
        <f t="shared" si="3"/>
        <v>2062691.285</v>
      </c>
      <c r="CH17" s="1202">
        <f t="shared" si="3"/>
        <v>116999.3025</v>
      </c>
      <c r="CI17" s="1202">
        <f t="shared" si="3"/>
        <v>1002787.1175000002</v>
      </c>
      <c r="CJ17" s="1202">
        <f t="shared" si="3"/>
        <v>62615.41499999999</v>
      </c>
      <c r="CK17" s="1202">
        <f t="shared" si="3"/>
        <v>322548.29250000004</v>
      </c>
      <c r="CL17" s="1202">
        <f t="shared" si="3"/>
        <v>62258.22249999999</v>
      </c>
      <c r="CM17" s="1202">
        <f t="shared" si="3"/>
        <v>391942.14249999996</v>
      </c>
      <c r="CN17" s="1202">
        <f t="shared" si="3"/>
        <v>109745.10249999998</v>
      </c>
      <c r="CO17" s="1202">
        <f t="shared" si="3"/>
        <v>241615.46749999997</v>
      </c>
      <c r="CP17" s="1202">
        <f t="shared" si="3"/>
        <v>45759.92</v>
      </c>
      <c r="CQ17" s="1202">
        <f t="shared" si="3"/>
        <v>242576.8525</v>
      </c>
      <c r="CR17" s="1202">
        <f t="shared" si="3"/>
        <v>91160.55500000002</v>
      </c>
      <c r="CS17" s="1202">
        <f t="shared" si="3"/>
        <v>221772.33000000002</v>
      </c>
      <c r="CT17" s="1202">
        <f t="shared" si="3"/>
        <v>122419.45249999998</v>
      </c>
      <c r="CU17" s="1202">
        <f t="shared" si="3"/>
        <v>548691.6425</v>
      </c>
      <c r="CV17" s="1202">
        <f t="shared" si="3"/>
        <v>10829.8225</v>
      </c>
      <c r="CW17" s="1202">
        <f t="shared" si="3"/>
        <v>266598.92000000004</v>
      </c>
      <c r="CX17" s="1202">
        <f t="shared" si="3"/>
        <v>1035200.9949999999</v>
      </c>
      <c r="CY17" s="1202">
        <f t="shared" si="3"/>
        <v>7587220.085000001</v>
      </c>
      <c r="CZ17" s="1202">
        <f t="shared" si="3"/>
        <v>67507.7225</v>
      </c>
      <c r="DA17" s="1202">
        <f t="shared" si="3"/>
        <v>71479.9525</v>
      </c>
      <c r="DB17" s="1202">
        <f t="shared" si="3"/>
        <v>38525.5625</v>
      </c>
      <c r="DC17" s="1202">
        <f t="shared" si="3"/>
        <v>256834.22749999995</v>
      </c>
      <c r="DD17" s="1202">
        <f t="shared" si="3"/>
        <v>269909.54000000004</v>
      </c>
      <c r="DE17" s="1202">
        <f t="shared" si="3"/>
        <v>530689.2675</v>
      </c>
      <c r="DF17" s="1202">
        <f t="shared" si="3"/>
        <v>680228.8674999999</v>
      </c>
      <c r="DG17" s="1202">
        <f t="shared" si="3"/>
        <v>3093657.6775000007</v>
      </c>
      <c r="DH17" s="1202">
        <f t="shared" si="3"/>
        <v>16394.965</v>
      </c>
      <c r="DI17" s="1202">
        <f t="shared" si="3"/>
        <v>215053.1125</v>
      </c>
      <c r="DJ17" s="1202">
        <f t="shared" si="3"/>
        <v>20537312.919999998</v>
      </c>
      <c r="DK17" s="1202">
        <f t="shared" si="3"/>
        <v>105303609.57849997</v>
      </c>
      <c r="DL17" s="1202">
        <f t="shared" si="3"/>
        <v>125840922.4985</v>
      </c>
    </row>
    <row r="19" s="1204" customFormat="1" ht="12.75">
      <c r="A19" s="1204" t="s">
        <v>1261</v>
      </c>
    </row>
  </sheetData>
  <sheetProtection/>
  <printOptions/>
  <pageMargins left="0.7" right="0.7" top="0.75" bottom="0.75" header="0.3" footer="0.3"/>
  <pageSetup horizontalDpi="600" verticalDpi="600" orientation="landscape" paperSize="5" r:id="rId3"/>
  <legacyDrawing r:id="rId2"/>
</worksheet>
</file>

<file path=xl/worksheets/sheet15.xml><?xml version="1.0" encoding="utf-8"?>
<worksheet xmlns="http://schemas.openxmlformats.org/spreadsheetml/2006/main" xmlns:r="http://schemas.openxmlformats.org/officeDocument/2006/relationships">
  <dimension ref="A1:G179"/>
  <sheetViews>
    <sheetView zoomScalePageLayoutView="0" workbookViewId="0" topLeftCell="B1">
      <selection activeCell="G8" sqref="G8"/>
    </sheetView>
  </sheetViews>
  <sheetFormatPr defaultColWidth="9.140625" defaultRowHeight="12.75"/>
  <cols>
    <col min="1" max="1" width="14.7109375" style="0" bestFit="1" customWidth="1"/>
    <col min="2" max="2" width="36.140625" style="0" bestFit="1" customWidth="1"/>
    <col min="3" max="3" width="18.00390625" style="0" bestFit="1" customWidth="1"/>
    <col min="4" max="4" width="12.7109375" style="228" bestFit="1" customWidth="1"/>
    <col min="5" max="5" width="13.57421875" style="1232" bestFit="1" customWidth="1"/>
    <col min="6" max="6" width="13.57421875" style="0" bestFit="1" customWidth="1"/>
    <col min="7" max="7" width="41.8515625" style="0" bestFit="1" customWidth="1"/>
  </cols>
  <sheetData>
    <row r="1" spans="1:6" s="1228" customFormat="1" ht="14.25">
      <c r="A1" s="1228" t="s">
        <v>1318</v>
      </c>
      <c r="B1" s="1228" t="s">
        <v>1319</v>
      </c>
      <c r="C1" s="1228" t="s">
        <v>1320</v>
      </c>
      <c r="D1" s="1229" t="s">
        <v>1321</v>
      </c>
      <c r="E1" s="1230" t="s">
        <v>1322</v>
      </c>
      <c r="F1" s="1228" t="s">
        <v>1323</v>
      </c>
    </row>
    <row r="2" spans="1:6" ht="12.75">
      <c r="A2" s="1231" t="s">
        <v>1324</v>
      </c>
      <c r="B2" s="1231" t="s">
        <v>1325</v>
      </c>
      <c r="C2" s="194">
        <v>15737.14</v>
      </c>
      <c r="D2" s="228">
        <v>15737.14</v>
      </c>
      <c r="E2" s="1232">
        <v>40721</v>
      </c>
      <c r="F2" s="194">
        <f aca="true" t="shared" si="0" ref="F2:F65">C2-D2</f>
        <v>0</v>
      </c>
    </row>
    <row r="3" spans="1:6" ht="12.75">
      <c r="A3" s="1231" t="s">
        <v>1326</v>
      </c>
      <c r="B3" s="1231" t="s">
        <v>1327</v>
      </c>
      <c r="C3" s="194">
        <v>18311.62</v>
      </c>
      <c r="D3" s="228">
        <v>18311.62</v>
      </c>
      <c r="E3" s="1232">
        <v>40749</v>
      </c>
      <c r="F3" s="194">
        <f t="shared" si="0"/>
        <v>0</v>
      </c>
    </row>
    <row r="4" spans="1:6" ht="12.75">
      <c r="A4" s="1231" t="s">
        <v>1328</v>
      </c>
      <c r="B4" s="1231" t="s">
        <v>1329</v>
      </c>
      <c r="C4" s="194">
        <v>2359.94</v>
      </c>
      <c r="D4" s="228">
        <v>2359.94</v>
      </c>
      <c r="E4" s="1232">
        <v>40753</v>
      </c>
      <c r="F4" s="194">
        <f t="shared" si="0"/>
        <v>0</v>
      </c>
    </row>
    <row r="5" spans="1:6" ht="12.75">
      <c r="A5" s="1231" t="s">
        <v>1330</v>
      </c>
      <c r="B5" s="1231" t="s">
        <v>1331</v>
      </c>
      <c r="C5" s="194">
        <v>24198.85</v>
      </c>
      <c r="D5" s="228">
        <v>24198.85</v>
      </c>
      <c r="E5" s="1232">
        <v>40729</v>
      </c>
      <c r="F5" s="194">
        <f t="shared" si="0"/>
        <v>0</v>
      </c>
    </row>
    <row r="6" spans="1:6" ht="12.75">
      <c r="A6" s="1231" t="s">
        <v>1332</v>
      </c>
      <c r="B6" s="1231" t="s">
        <v>1333</v>
      </c>
      <c r="C6" s="194">
        <v>19687.2</v>
      </c>
      <c r="D6" s="228">
        <v>19687.2</v>
      </c>
      <c r="E6" s="1232">
        <v>40745</v>
      </c>
      <c r="F6" s="194">
        <f t="shared" si="0"/>
        <v>0</v>
      </c>
    </row>
    <row r="7" spans="1:6" ht="12.75">
      <c r="A7" s="1231" t="s">
        <v>1334</v>
      </c>
      <c r="B7" s="1231" t="s">
        <v>1335</v>
      </c>
      <c r="C7" s="194">
        <v>1823.59</v>
      </c>
      <c r="D7" s="228">
        <v>1823.59</v>
      </c>
      <c r="E7" s="1232">
        <v>40735</v>
      </c>
      <c r="F7" s="194">
        <f t="shared" si="0"/>
        <v>0</v>
      </c>
    </row>
    <row r="8" spans="1:6" ht="12.75">
      <c r="A8" s="1231" t="s">
        <v>1336</v>
      </c>
      <c r="B8" s="1231" t="s">
        <v>1337</v>
      </c>
      <c r="C8" s="194">
        <v>8474.33</v>
      </c>
      <c r="D8" s="228">
        <v>8474.33</v>
      </c>
      <c r="E8" s="1232">
        <v>40739</v>
      </c>
      <c r="F8" s="194">
        <f t="shared" si="0"/>
        <v>0</v>
      </c>
    </row>
    <row r="9" spans="1:6" ht="12.75">
      <c r="A9" s="1231" t="s">
        <v>1338</v>
      </c>
      <c r="B9" s="1231" t="s">
        <v>1339</v>
      </c>
      <c r="C9" s="194">
        <v>3924.82</v>
      </c>
      <c r="D9" s="228">
        <v>3924.82</v>
      </c>
      <c r="E9" s="1232">
        <v>40736</v>
      </c>
      <c r="F9" s="194">
        <f t="shared" si="0"/>
        <v>0</v>
      </c>
    </row>
    <row r="10" spans="1:6" ht="12.75">
      <c r="A10" s="1231" t="s">
        <v>1340</v>
      </c>
      <c r="B10" s="1231" t="s">
        <v>1341</v>
      </c>
      <c r="C10" s="194">
        <v>14910.53</v>
      </c>
      <c r="D10" s="228">
        <v>14910.53</v>
      </c>
      <c r="E10" s="1232">
        <v>40746</v>
      </c>
      <c r="F10" s="194">
        <f t="shared" si="0"/>
        <v>0</v>
      </c>
    </row>
    <row r="11" spans="1:6" ht="12.75">
      <c r="A11" s="1231" t="s">
        <v>1342</v>
      </c>
      <c r="B11" s="1231" t="s">
        <v>1343</v>
      </c>
      <c r="C11" s="194">
        <v>28533.82</v>
      </c>
      <c r="D11" s="228">
        <v>28533.82</v>
      </c>
      <c r="E11" s="1232">
        <v>40742</v>
      </c>
      <c r="F11" s="194">
        <f t="shared" si="0"/>
        <v>0</v>
      </c>
    </row>
    <row r="12" spans="1:6" ht="12.75">
      <c r="A12" s="1231" t="s">
        <v>1344</v>
      </c>
      <c r="B12" s="1231" t="s">
        <v>1345</v>
      </c>
      <c r="C12" s="194">
        <v>12506.42</v>
      </c>
      <c r="D12" s="228">
        <v>12506.42</v>
      </c>
      <c r="E12" s="1232">
        <v>40729</v>
      </c>
      <c r="F12" s="194">
        <f t="shared" si="0"/>
        <v>0</v>
      </c>
    </row>
    <row r="13" spans="1:6" ht="12.75">
      <c r="A13" s="1231" t="s">
        <v>1346</v>
      </c>
      <c r="B13" s="1231" t="s">
        <v>1347</v>
      </c>
      <c r="C13" s="194">
        <v>6903.14</v>
      </c>
      <c r="D13" s="228">
        <v>6903.14</v>
      </c>
      <c r="E13" s="1232">
        <v>40729</v>
      </c>
      <c r="F13" s="194">
        <f t="shared" si="0"/>
        <v>0</v>
      </c>
    </row>
    <row r="14" spans="1:6" ht="12.75">
      <c r="A14" s="1231" t="s">
        <v>1348</v>
      </c>
      <c r="B14" s="1231" t="s">
        <v>1349</v>
      </c>
      <c r="C14" s="194">
        <v>18576.64</v>
      </c>
      <c r="D14" s="228">
        <v>18576.64</v>
      </c>
      <c r="E14" s="1232">
        <v>40760</v>
      </c>
      <c r="F14" s="194">
        <f t="shared" si="0"/>
        <v>0</v>
      </c>
    </row>
    <row r="15" spans="1:6" ht="12.75">
      <c r="A15" s="1231" t="s">
        <v>1350</v>
      </c>
      <c r="B15" s="1231" t="s">
        <v>1351</v>
      </c>
      <c r="C15" s="194">
        <v>4801.91</v>
      </c>
      <c r="D15" s="228">
        <v>4801.91</v>
      </c>
      <c r="E15" s="1232">
        <v>40708</v>
      </c>
      <c r="F15" s="194">
        <f t="shared" si="0"/>
        <v>0</v>
      </c>
    </row>
    <row r="16" spans="1:6" ht="12.75">
      <c r="A16" s="1231" t="s">
        <v>1352</v>
      </c>
      <c r="B16" s="1231" t="s">
        <v>1353</v>
      </c>
      <c r="C16" s="194">
        <v>6657.05</v>
      </c>
      <c r="D16" s="228">
        <v>6657.05</v>
      </c>
      <c r="E16" s="1232">
        <v>40729</v>
      </c>
      <c r="F16" s="194">
        <f t="shared" si="0"/>
        <v>0</v>
      </c>
    </row>
    <row r="17" spans="1:6" ht="12.75">
      <c r="A17" s="1231" t="s">
        <v>1354</v>
      </c>
      <c r="B17" s="1231" t="s">
        <v>1355</v>
      </c>
      <c r="C17" s="194">
        <v>118198.92</v>
      </c>
      <c r="D17" s="228">
        <v>118198.92</v>
      </c>
      <c r="E17" s="1232">
        <v>40759</v>
      </c>
      <c r="F17" s="194">
        <f t="shared" si="0"/>
        <v>0</v>
      </c>
    </row>
    <row r="18" spans="1:6" ht="12.75">
      <c r="A18" s="1231" t="s">
        <v>1356</v>
      </c>
      <c r="B18" s="1231" t="s">
        <v>1357</v>
      </c>
      <c r="C18" s="194">
        <v>16235.63</v>
      </c>
      <c r="D18" s="228">
        <v>16235.63</v>
      </c>
      <c r="E18" s="1232">
        <v>40714</v>
      </c>
      <c r="F18" s="194">
        <f t="shared" si="0"/>
        <v>0</v>
      </c>
    </row>
    <row r="19" spans="1:6" ht="12.75">
      <c r="A19" s="1231" t="s">
        <v>1358</v>
      </c>
      <c r="B19" s="1231" t="s">
        <v>1359</v>
      </c>
      <c r="C19" s="194">
        <v>23946.45</v>
      </c>
      <c r="D19" s="228">
        <v>23946.45</v>
      </c>
      <c r="E19" s="1232">
        <v>40739</v>
      </c>
      <c r="F19" s="194">
        <f t="shared" si="0"/>
        <v>0</v>
      </c>
    </row>
    <row r="20" spans="1:6" ht="12.75">
      <c r="A20" s="1231" t="s">
        <v>1360</v>
      </c>
      <c r="B20" s="1231" t="s">
        <v>1361</v>
      </c>
      <c r="C20" s="194">
        <v>20223.55</v>
      </c>
      <c r="D20" s="228">
        <v>20223.55</v>
      </c>
      <c r="E20" s="1232">
        <v>40729</v>
      </c>
      <c r="F20" s="194">
        <f t="shared" si="0"/>
        <v>0</v>
      </c>
    </row>
    <row r="21" spans="1:6" ht="12.75">
      <c r="A21" s="1231" t="s">
        <v>1362</v>
      </c>
      <c r="B21" s="1231" t="s">
        <v>1363</v>
      </c>
      <c r="C21" s="194">
        <v>16715.19</v>
      </c>
      <c r="D21" s="228">
        <v>16715.19</v>
      </c>
      <c r="E21" s="1232">
        <v>40760</v>
      </c>
      <c r="F21" s="194">
        <f t="shared" si="0"/>
        <v>0</v>
      </c>
    </row>
    <row r="22" spans="1:6" ht="12.75">
      <c r="A22" s="1231" t="s">
        <v>1364</v>
      </c>
      <c r="B22" s="1231" t="s">
        <v>1365</v>
      </c>
      <c r="C22" s="194">
        <v>7578.31</v>
      </c>
      <c r="D22" s="228">
        <v>7578.31</v>
      </c>
      <c r="E22" s="1232">
        <v>40711</v>
      </c>
      <c r="F22" s="194">
        <f t="shared" si="0"/>
        <v>0</v>
      </c>
    </row>
    <row r="23" spans="1:6" ht="12.75">
      <c r="A23" s="1231" t="s">
        <v>1366</v>
      </c>
      <c r="B23" s="1231" t="s">
        <v>1367</v>
      </c>
      <c r="C23" s="194">
        <v>13433.99</v>
      </c>
      <c r="D23" s="228">
        <v>13433.99</v>
      </c>
      <c r="E23" s="1232">
        <v>40729</v>
      </c>
      <c r="F23" s="194">
        <f t="shared" si="0"/>
        <v>0</v>
      </c>
    </row>
    <row r="24" spans="1:6" ht="12.75">
      <c r="A24" s="1231" t="s">
        <v>1368</v>
      </c>
      <c r="B24" s="1231" t="s">
        <v>1369</v>
      </c>
      <c r="C24" s="194">
        <v>16828.77</v>
      </c>
      <c r="D24" s="228">
        <v>16828.77</v>
      </c>
      <c r="E24" s="1232">
        <v>40729</v>
      </c>
      <c r="F24" s="194">
        <f t="shared" si="0"/>
        <v>0</v>
      </c>
    </row>
    <row r="25" spans="1:6" ht="12.75">
      <c r="A25" s="1231" t="s">
        <v>1370</v>
      </c>
      <c r="B25" s="1231" t="s">
        <v>1371</v>
      </c>
      <c r="C25" s="194">
        <v>78938.1</v>
      </c>
      <c r="D25" s="228">
        <v>78938.1</v>
      </c>
      <c r="E25" s="1232">
        <v>40763</v>
      </c>
      <c r="F25" s="194">
        <f t="shared" si="0"/>
        <v>0</v>
      </c>
    </row>
    <row r="26" spans="1:6" ht="12.75">
      <c r="A26" s="1231" t="s">
        <v>1372</v>
      </c>
      <c r="B26" s="1231" t="s">
        <v>1373</v>
      </c>
      <c r="C26" s="194">
        <v>2789.02</v>
      </c>
      <c r="D26" s="228">
        <v>2789.02</v>
      </c>
      <c r="E26" s="1232">
        <v>40735</v>
      </c>
      <c r="F26" s="194">
        <f t="shared" si="0"/>
        <v>0</v>
      </c>
    </row>
    <row r="27" spans="1:6" ht="12.75">
      <c r="A27" s="1231" t="s">
        <v>1374</v>
      </c>
      <c r="B27" s="1231" t="s">
        <v>1375</v>
      </c>
      <c r="C27" s="194">
        <v>13112.18</v>
      </c>
      <c r="D27" s="228">
        <v>13112.18</v>
      </c>
      <c r="E27" s="1232">
        <v>40729</v>
      </c>
      <c r="F27" s="194">
        <f t="shared" si="0"/>
        <v>0</v>
      </c>
    </row>
    <row r="28" spans="1:6" ht="12.75">
      <c r="A28" s="1231" t="s">
        <v>1376</v>
      </c>
      <c r="B28" s="1231" t="s">
        <v>1377</v>
      </c>
      <c r="C28" s="194">
        <v>12468.56</v>
      </c>
      <c r="D28" s="228">
        <v>12468.56</v>
      </c>
      <c r="E28" s="1232">
        <v>40718</v>
      </c>
      <c r="F28" s="194">
        <f t="shared" si="0"/>
        <v>0</v>
      </c>
    </row>
    <row r="29" spans="1:6" ht="12.75">
      <c r="A29" s="1231" t="s">
        <v>1378</v>
      </c>
      <c r="B29" s="1231" t="s">
        <v>1379</v>
      </c>
      <c r="C29" s="194">
        <v>19579.93</v>
      </c>
      <c r="D29" s="228">
        <v>19579.93</v>
      </c>
      <c r="E29" s="1232">
        <v>40746</v>
      </c>
      <c r="F29" s="194">
        <f t="shared" si="0"/>
        <v>0</v>
      </c>
    </row>
    <row r="30" spans="1:6" ht="12.75">
      <c r="A30" s="1231" t="s">
        <v>1380</v>
      </c>
      <c r="B30" s="1231" t="s">
        <v>1381</v>
      </c>
      <c r="C30" s="194">
        <v>30016.67</v>
      </c>
      <c r="D30" s="228">
        <v>30016.67</v>
      </c>
      <c r="E30" s="1232">
        <v>40722</v>
      </c>
      <c r="F30" s="194">
        <f t="shared" si="0"/>
        <v>0</v>
      </c>
    </row>
    <row r="31" spans="1:6" ht="12.75">
      <c r="A31" s="1231" t="s">
        <v>1382</v>
      </c>
      <c r="B31" s="1231" t="s">
        <v>1383</v>
      </c>
      <c r="C31" s="194">
        <v>6783.25</v>
      </c>
      <c r="D31" s="228">
        <v>6783.25</v>
      </c>
      <c r="E31" s="1232">
        <v>40714</v>
      </c>
      <c r="F31" s="194">
        <f t="shared" si="0"/>
        <v>0</v>
      </c>
    </row>
    <row r="32" spans="1:6" ht="12.75">
      <c r="A32" s="1231" t="s">
        <v>1384</v>
      </c>
      <c r="B32" s="1231" t="s">
        <v>1385</v>
      </c>
      <c r="C32" s="194">
        <v>5003.83</v>
      </c>
      <c r="D32" s="228">
        <v>5003.83</v>
      </c>
      <c r="E32" s="1232">
        <v>40710</v>
      </c>
      <c r="F32" s="194">
        <f t="shared" si="0"/>
        <v>0</v>
      </c>
    </row>
    <row r="33" spans="1:7" ht="12.75">
      <c r="A33" s="1231" t="s">
        <v>1386</v>
      </c>
      <c r="B33" s="1231" t="s">
        <v>1387</v>
      </c>
      <c r="C33" s="194">
        <v>11888.04</v>
      </c>
      <c r="D33" s="228">
        <v>11888.04</v>
      </c>
      <c r="E33" s="1232">
        <v>40749</v>
      </c>
      <c r="F33" s="194">
        <f t="shared" si="0"/>
        <v>0</v>
      </c>
      <c r="G33" t="s">
        <v>1388</v>
      </c>
    </row>
    <row r="34" spans="1:6" ht="12.75">
      <c r="A34" s="1231" t="s">
        <v>1389</v>
      </c>
      <c r="B34" s="1231" t="s">
        <v>1390</v>
      </c>
      <c r="C34" s="194">
        <v>29795.82</v>
      </c>
      <c r="D34" s="228">
        <v>29795.82</v>
      </c>
      <c r="E34" s="1232">
        <v>40707</v>
      </c>
      <c r="F34" s="194">
        <f t="shared" si="0"/>
        <v>0</v>
      </c>
    </row>
    <row r="35" spans="1:6" ht="12.75">
      <c r="A35" s="1231" t="s">
        <v>1391</v>
      </c>
      <c r="B35" s="1231" t="s">
        <v>1392</v>
      </c>
      <c r="C35" s="194">
        <v>14494.07</v>
      </c>
      <c r="D35" s="228">
        <v>14494.07</v>
      </c>
      <c r="E35" s="1232">
        <v>40739</v>
      </c>
      <c r="F35" s="194">
        <f t="shared" si="0"/>
        <v>0</v>
      </c>
    </row>
    <row r="36" spans="1:6" ht="12.75">
      <c r="A36" s="1231" t="s">
        <v>1393</v>
      </c>
      <c r="B36" s="1231" t="s">
        <v>1394</v>
      </c>
      <c r="C36" s="194">
        <v>4675.71</v>
      </c>
      <c r="D36" s="228">
        <v>4675.71</v>
      </c>
      <c r="E36" s="1232">
        <v>40771</v>
      </c>
      <c r="F36" s="194">
        <f t="shared" si="0"/>
        <v>0</v>
      </c>
    </row>
    <row r="37" spans="1:6" ht="12.75">
      <c r="A37" s="1231" t="s">
        <v>1395</v>
      </c>
      <c r="B37" s="1231" t="s">
        <v>1396</v>
      </c>
      <c r="C37" s="194">
        <v>55515.38</v>
      </c>
      <c r="D37" s="228">
        <v>55515.38</v>
      </c>
      <c r="E37" s="1232">
        <v>40763</v>
      </c>
      <c r="F37" s="194">
        <f t="shared" si="0"/>
        <v>0</v>
      </c>
    </row>
    <row r="38" spans="1:6" ht="12.75">
      <c r="A38" s="1231" t="s">
        <v>1397</v>
      </c>
      <c r="B38" t="s">
        <v>1398</v>
      </c>
      <c r="C38" s="194">
        <v>34149.72</v>
      </c>
      <c r="D38" s="228">
        <v>34149.72</v>
      </c>
      <c r="E38" s="1232">
        <v>40749</v>
      </c>
      <c r="F38" s="194">
        <f t="shared" si="0"/>
        <v>0</v>
      </c>
    </row>
    <row r="39" spans="1:6" ht="12.75">
      <c r="A39" s="1231" t="s">
        <v>1399</v>
      </c>
      <c r="B39" s="1231" t="s">
        <v>1400</v>
      </c>
      <c r="C39" s="194">
        <v>21883.08</v>
      </c>
      <c r="D39" s="228">
        <v>21883.08</v>
      </c>
      <c r="E39" s="1232">
        <v>40744</v>
      </c>
      <c r="F39" s="194">
        <f t="shared" si="0"/>
        <v>0</v>
      </c>
    </row>
    <row r="40" spans="1:6" ht="12.75">
      <c r="A40" s="1231" t="s">
        <v>1401</v>
      </c>
      <c r="B40" s="1231" t="s">
        <v>1402</v>
      </c>
      <c r="C40" s="194">
        <v>10733.31</v>
      </c>
      <c r="D40" s="228">
        <v>10733.31</v>
      </c>
      <c r="E40" s="1232">
        <v>40714</v>
      </c>
      <c r="F40" s="194">
        <f t="shared" si="0"/>
        <v>0</v>
      </c>
    </row>
    <row r="41" spans="1:6" ht="12.75">
      <c r="A41" s="1231" t="s">
        <v>1403</v>
      </c>
      <c r="B41" s="1231" t="s">
        <v>1404</v>
      </c>
      <c r="C41" s="194">
        <v>1993.96</v>
      </c>
      <c r="D41" s="228">
        <v>1993.96</v>
      </c>
      <c r="E41" s="1232">
        <v>40756</v>
      </c>
      <c r="F41" s="194">
        <f t="shared" si="0"/>
        <v>0</v>
      </c>
    </row>
    <row r="42" spans="1:6" ht="12.75">
      <c r="A42" s="1231" t="s">
        <v>1405</v>
      </c>
      <c r="B42" s="1231" t="s">
        <v>1406</v>
      </c>
      <c r="C42" s="194">
        <v>16771.98</v>
      </c>
      <c r="D42" s="228">
        <v>16771.98</v>
      </c>
      <c r="E42" s="1232">
        <v>40729</v>
      </c>
      <c r="F42" s="194">
        <f t="shared" si="0"/>
        <v>0</v>
      </c>
    </row>
    <row r="43" spans="1:6" ht="12.75">
      <c r="A43" s="1231" t="s">
        <v>1407</v>
      </c>
      <c r="B43" s="1231" t="s">
        <v>1408</v>
      </c>
      <c r="C43" s="194">
        <v>22526.7</v>
      </c>
      <c r="D43" s="228">
        <v>22526.7</v>
      </c>
      <c r="E43" s="1232">
        <v>40777</v>
      </c>
      <c r="F43" s="194">
        <f t="shared" si="0"/>
        <v>0</v>
      </c>
    </row>
    <row r="44" spans="1:6" ht="12.75">
      <c r="A44" s="1231" t="s">
        <v>1409</v>
      </c>
      <c r="B44" s="1231" t="s">
        <v>1410</v>
      </c>
      <c r="C44" s="194">
        <v>8051.56</v>
      </c>
      <c r="D44" s="228">
        <v>8051.56</v>
      </c>
      <c r="E44" s="1232">
        <v>40757</v>
      </c>
      <c r="F44" s="194">
        <f t="shared" si="0"/>
        <v>0</v>
      </c>
    </row>
    <row r="45" spans="1:6" ht="12.75">
      <c r="A45" s="1231" t="s">
        <v>1411</v>
      </c>
      <c r="B45" s="1231" t="s">
        <v>1412</v>
      </c>
      <c r="C45" s="194">
        <v>6278.45</v>
      </c>
      <c r="D45" s="228">
        <v>6278.45</v>
      </c>
      <c r="E45" s="1232">
        <v>40707</v>
      </c>
      <c r="F45" s="194">
        <f t="shared" si="0"/>
        <v>0</v>
      </c>
    </row>
    <row r="46" spans="1:6" ht="12.75">
      <c r="A46" s="1231" t="s">
        <v>1413</v>
      </c>
      <c r="B46" s="1231" t="s">
        <v>1414</v>
      </c>
      <c r="C46" s="194">
        <v>10783.79</v>
      </c>
      <c r="D46" s="228">
        <v>10783.79</v>
      </c>
      <c r="E46" s="1232">
        <v>40714</v>
      </c>
      <c r="F46" s="194">
        <f t="shared" si="0"/>
        <v>0</v>
      </c>
    </row>
    <row r="47" spans="1:6" ht="12.75">
      <c r="A47" s="1231" t="s">
        <v>1415</v>
      </c>
      <c r="B47" s="1231" t="s">
        <v>1416</v>
      </c>
      <c r="C47" s="194">
        <v>68571.87</v>
      </c>
      <c r="D47" s="228">
        <v>68571.87</v>
      </c>
      <c r="E47" s="1232">
        <v>40714</v>
      </c>
      <c r="F47" s="194">
        <f t="shared" si="0"/>
        <v>0</v>
      </c>
    </row>
    <row r="48" spans="1:6" ht="12.75">
      <c r="A48" s="1231" t="s">
        <v>1417</v>
      </c>
      <c r="B48" s="1231" t="s">
        <v>1418</v>
      </c>
      <c r="C48" s="194">
        <v>4183.53</v>
      </c>
      <c r="D48" s="228">
        <v>4183.53</v>
      </c>
      <c r="E48" s="1232">
        <v>40746</v>
      </c>
      <c r="F48" s="194">
        <f t="shared" si="0"/>
        <v>0</v>
      </c>
    </row>
    <row r="49" spans="1:6" ht="12.75">
      <c r="A49" s="1231" t="s">
        <v>1419</v>
      </c>
      <c r="B49" s="1231" t="s">
        <v>1420</v>
      </c>
      <c r="C49" s="194">
        <v>5483.39</v>
      </c>
      <c r="D49" s="228">
        <v>5483.39</v>
      </c>
      <c r="E49" s="1232">
        <v>40710</v>
      </c>
      <c r="F49" s="194">
        <f t="shared" si="0"/>
        <v>0</v>
      </c>
    </row>
    <row r="50" spans="1:6" ht="12.75">
      <c r="A50" s="1231" t="s">
        <v>1421</v>
      </c>
      <c r="B50" s="1231" t="s">
        <v>1422</v>
      </c>
      <c r="C50" s="194">
        <v>3255.96</v>
      </c>
      <c r="D50" s="228">
        <v>3255.96</v>
      </c>
      <c r="E50" s="1232">
        <v>40742</v>
      </c>
      <c r="F50" s="194">
        <f t="shared" si="0"/>
        <v>0</v>
      </c>
    </row>
    <row r="51" spans="1:6" ht="12.75">
      <c r="A51" s="1231" t="s">
        <v>1423</v>
      </c>
      <c r="B51" s="1231" t="s">
        <v>1424</v>
      </c>
      <c r="C51" s="194">
        <v>12336.05</v>
      </c>
      <c r="D51" s="228">
        <v>12336.05</v>
      </c>
      <c r="E51" s="1232">
        <v>40739</v>
      </c>
      <c r="F51" s="194">
        <f t="shared" si="0"/>
        <v>0</v>
      </c>
    </row>
    <row r="52" spans="1:6" ht="12.75">
      <c r="A52" s="1231" t="s">
        <v>1425</v>
      </c>
      <c r="B52" s="1231" t="s">
        <v>1426</v>
      </c>
      <c r="C52" s="194">
        <v>14109.16</v>
      </c>
      <c r="D52" s="228">
        <v>14109.16</v>
      </c>
      <c r="E52" s="1232">
        <v>40746</v>
      </c>
      <c r="F52" s="194">
        <f t="shared" si="0"/>
        <v>0</v>
      </c>
    </row>
    <row r="53" spans="1:6" ht="12.75">
      <c r="A53" s="1231" t="s">
        <v>1427</v>
      </c>
      <c r="B53" s="1231" t="s">
        <v>1428</v>
      </c>
      <c r="C53" s="194">
        <v>6985.17</v>
      </c>
      <c r="D53" s="228">
        <v>6985.17</v>
      </c>
      <c r="E53" s="1232">
        <v>40735</v>
      </c>
      <c r="F53" s="194">
        <f t="shared" si="0"/>
        <v>0</v>
      </c>
    </row>
    <row r="54" spans="1:6" ht="12.75">
      <c r="A54" s="1231" t="s">
        <v>1429</v>
      </c>
      <c r="B54" s="1231" t="s">
        <v>1430</v>
      </c>
      <c r="C54" s="194">
        <v>4013.16</v>
      </c>
      <c r="D54" s="228">
        <v>4013.16</v>
      </c>
      <c r="E54" s="1232">
        <v>40721</v>
      </c>
      <c r="F54" s="194">
        <f t="shared" si="0"/>
        <v>0</v>
      </c>
    </row>
    <row r="55" spans="1:6" ht="12.75">
      <c r="A55" s="1231" t="s">
        <v>1431</v>
      </c>
      <c r="B55" s="1231" t="s">
        <v>1432</v>
      </c>
      <c r="C55" s="194">
        <v>14263.97</v>
      </c>
      <c r="D55" s="228">
        <v>14263.97</v>
      </c>
      <c r="E55" s="1232">
        <v>40714</v>
      </c>
      <c r="F55" s="194">
        <f t="shared" si="0"/>
        <v>0</v>
      </c>
    </row>
    <row r="56" spans="1:6" ht="12.75">
      <c r="A56" s="1231" t="s">
        <v>1433</v>
      </c>
      <c r="B56" s="1231" t="s">
        <v>1434</v>
      </c>
      <c r="C56" s="194">
        <v>15364.85</v>
      </c>
      <c r="D56" s="228">
        <v>15364.85</v>
      </c>
      <c r="E56" s="1232">
        <v>40781</v>
      </c>
      <c r="F56" s="194">
        <f t="shared" si="0"/>
        <v>0</v>
      </c>
    </row>
    <row r="57" spans="1:6" ht="12.75">
      <c r="A57" s="1231" t="s">
        <v>1435</v>
      </c>
      <c r="B57" s="1231" t="s">
        <v>1436</v>
      </c>
      <c r="C57" s="194">
        <v>5022.76</v>
      </c>
      <c r="D57" s="228">
        <v>5022.76</v>
      </c>
      <c r="E57" s="1232">
        <v>40757</v>
      </c>
      <c r="F57" s="194">
        <f t="shared" si="0"/>
        <v>0</v>
      </c>
    </row>
    <row r="58" spans="1:6" ht="12.75">
      <c r="A58" s="1231" t="s">
        <v>1437</v>
      </c>
      <c r="B58" s="1231" t="s">
        <v>1438</v>
      </c>
      <c r="C58" s="194">
        <v>226383.87</v>
      </c>
      <c r="D58" s="228">
        <v>226383.87</v>
      </c>
      <c r="E58" s="1232">
        <v>40725</v>
      </c>
      <c r="F58" s="194">
        <f t="shared" si="0"/>
        <v>0</v>
      </c>
    </row>
    <row r="59" spans="1:6" ht="12.75">
      <c r="A59" s="1231" t="s">
        <v>1439</v>
      </c>
      <c r="B59" s="1231" t="s">
        <v>1440</v>
      </c>
      <c r="C59" s="194">
        <v>14860.05</v>
      </c>
      <c r="D59" s="228">
        <v>14860.05</v>
      </c>
      <c r="E59" s="1232">
        <v>40742</v>
      </c>
      <c r="F59" s="194">
        <f t="shared" si="0"/>
        <v>0</v>
      </c>
    </row>
    <row r="60" spans="1:6" ht="12.75">
      <c r="A60" s="1231" t="s">
        <v>1441</v>
      </c>
      <c r="B60" s="1231" t="s">
        <v>1442</v>
      </c>
      <c r="C60" s="194">
        <v>38497.31</v>
      </c>
      <c r="D60" s="228">
        <v>38497.31</v>
      </c>
      <c r="E60" s="1232">
        <v>40725</v>
      </c>
      <c r="F60" s="194">
        <f t="shared" si="0"/>
        <v>0</v>
      </c>
    </row>
    <row r="61" spans="1:6" ht="12.75">
      <c r="A61" s="1231" t="s">
        <v>1443</v>
      </c>
      <c r="B61" s="1231" t="s">
        <v>1444</v>
      </c>
      <c r="C61" s="194">
        <v>4827.15</v>
      </c>
      <c r="D61" s="228">
        <v>4827.15</v>
      </c>
      <c r="E61" s="1232">
        <v>40749</v>
      </c>
      <c r="F61" s="194">
        <f t="shared" si="0"/>
        <v>0</v>
      </c>
    </row>
    <row r="62" spans="1:6" ht="12.75">
      <c r="A62" s="1231" t="s">
        <v>1445</v>
      </c>
      <c r="B62" s="1231" t="s">
        <v>1446</v>
      </c>
      <c r="C62" s="194">
        <v>37512.95</v>
      </c>
      <c r="D62" s="228">
        <v>37512.95</v>
      </c>
      <c r="E62" s="1232">
        <v>40735</v>
      </c>
      <c r="F62" s="194">
        <f t="shared" si="0"/>
        <v>0</v>
      </c>
    </row>
    <row r="63" spans="1:6" ht="12.75">
      <c r="A63" s="1231" t="s">
        <v>1447</v>
      </c>
      <c r="B63" s="1231" t="s">
        <v>1448</v>
      </c>
      <c r="C63" s="194">
        <v>15945.37</v>
      </c>
      <c r="D63" s="228">
        <v>15945.37</v>
      </c>
      <c r="E63" s="1232">
        <v>40742</v>
      </c>
      <c r="F63" s="194">
        <f t="shared" si="0"/>
        <v>0</v>
      </c>
    </row>
    <row r="64" spans="1:6" ht="12.75">
      <c r="A64" s="1231" t="s">
        <v>1449</v>
      </c>
      <c r="B64" s="1231" t="s">
        <v>1450</v>
      </c>
      <c r="C64" s="194">
        <v>3356.92</v>
      </c>
      <c r="D64" s="228">
        <v>3356.92</v>
      </c>
      <c r="E64" s="1232">
        <v>40749</v>
      </c>
      <c r="F64" s="194">
        <f t="shared" si="0"/>
        <v>0</v>
      </c>
    </row>
    <row r="65" spans="1:6" ht="12.75">
      <c r="A65" s="1231" t="s">
        <v>1451</v>
      </c>
      <c r="B65" s="1231" t="s">
        <v>1452</v>
      </c>
      <c r="C65" s="194">
        <v>2555.55</v>
      </c>
      <c r="D65" s="228">
        <v>2555.55</v>
      </c>
      <c r="E65" s="1232">
        <v>40749</v>
      </c>
      <c r="F65" s="194">
        <f t="shared" si="0"/>
        <v>0</v>
      </c>
    </row>
    <row r="66" spans="1:6" ht="12.75">
      <c r="A66" s="1231" t="s">
        <v>1453</v>
      </c>
      <c r="B66" s="1231" t="s">
        <v>1454</v>
      </c>
      <c r="C66" s="194">
        <v>9887.77</v>
      </c>
      <c r="D66" s="228">
        <v>9887.77</v>
      </c>
      <c r="E66" s="1232">
        <v>40753</v>
      </c>
      <c r="F66" s="194">
        <f aca="true" t="shared" si="1" ref="F66:F129">C66-D66</f>
        <v>0</v>
      </c>
    </row>
    <row r="67" spans="1:6" ht="12.75">
      <c r="A67" s="1231" t="s">
        <v>1455</v>
      </c>
      <c r="B67" s="1231" t="s">
        <v>1456</v>
      </c>
      <c r="C67" s="194">
        <v>15806.55</v>
      </c>
      <c r="D67" s="228">
        <v>15806.55</v>
      </c>
      <c r="E67" s="1232">
        <v>40742</v>
      </c>
      <c r="F67" s="194">
        <f t="shared" si="1"/>
        <v>0</v>
      </c>
    </row>
    <row r="68" spans="1:6" ht="12.75">
      <c r="A68" s="1231" t="s">
        <v>1457</v>
      </c>
      <c r="B68" s="1231" t="s">
        <v>1458</v>
      </c>
      <c r="C68" s="194">
        <v>12260.33</v>
      </c>
      <c r="D68" s="228">
        <v>12260.33</v>
      </c>
      <c r="E68" s="1232">
        <v>40739</v>
      </c>
      <c r="F68" s="194">
        <f t="shared" si="1"/>
        <v>0</v>
      </c>
    </row>
    <row r="69" spans="1:6" ht="12.75">
      <c r="A69" s="1231" t="s">
        <v>1459</v>
      </c>
      <c r="B69" s="1231" t="s">
        <v>1460</v>
      </c>
      <c r="C69" s="194">
        <v>23946.45</v>
      </c>
      <c r="D69" s="228">
        <v>23946.45</v>
      </c>
      <c r="E69" s="1232">
        <v>40707</v>
      </c>
      <c r="F69" s="194">
        <f t="shared" si="1"/>
        <v>0</v>
      </c>
    </row>
    <row r="70" spans="1:6" ht="12.75">
      <c r="A70" s="1231" t="s">
        <v>1461</v>
      </c>
      <c r="B70" s="1231" t="s">
        <v>1462</v>
      </c>
      <c r="C70" s="194">
        <v>28470.72</v>
      </c>
      <c r="D70" s="228">
        <v>28470.72</v>
      </c>
      <c r="E70" s="1232">
        <v>40757</v>
      </c>
      <c r="F70" s="194">
        <f t="shared" si="1"/>
        <v>0</v>
      </c>
    </row>
    <row r="71" spans="1:6" ht="12.75">
      <c r="A71" s="1231" t="s">
        <v>1463</v>
      </c>
      <c r="B71" s="1231" t="s">
        <v>1464</v>
      </c>
      <c r="C71" s="194">
        <v>26356.87</v>
      </c>
      <c r="D71" s="228">
        <v>26356.87</v>
      </c>
      <c r="E71" s="1232">
        <v>40742</v>
      </c>
      <c r="F71" s="194">
        <f t="shared" si="1"/>
        <v>0</v>
      </c>
    </row>
    <row r="72" spans="1:6" ht="12.75">
      <c r="A72" s="1231" t="s">
        <v>1465</v>
      </c>
      <c r="B72" s="1231" t="s">
        <v>1466</v>
      </c>
      <c r="C72" s="194">
        <v>10695.45</v>
      </c>
      <c r="D72" s="228">
        <v>10695.45</v>
      </c>
      <c r="E72" s="1232">
        <v>40742</v>
      </c>
      <c r="F72" s="194">
        <f t="shared" si="1"/>
        <v>0</v>
      </c>
    </row>
    <row r="73" spans="1:6" ht="12.75">
      <c r="A73" s="1231" t="s">
        <v>1467</v>
      </c>
      <c r="B73" s="1231" t="s">
        <v>1468</v>
      </c>
      <c r="C73" s="194">
        <v>18538.78</v>
      </c>
      <c r="D73" s="228">
        <v>18538.78</v>
      </c>
      <c r="E73" s="1232">
        <v>40707</v>
      </c>
      <c r="F73" s="194">
        <f t="shared" si="1"/>
        <v>0</v>
      </c>
    </row>
    <row r="74" spans="1:6" ht="12.75">
      <c r="A74" s="1231" t="s">
        <v>1469</v>
      </c>
      <c r="B74" s="1231" t="s">
        <v>1470</v>
      </c>
      <c r="C74" s="194">
        <v>10272.68</v>
      </c>
      <c r="D74" s="228">
        <v>10272.68</v>
      </c>
      <c r="E74" s="1232">
        <v>40757</v>
      </c>
      <c r="F74" s="194">
        <f t="shared" si="1"/>
        <v>0</v>
      </c>
    </row>
    <row r="75" spans="1:6" ht="12.75">
      <c r="A75" s="1231" t="s">
        <v>1471</v>
      </c>
      <c r="B75" s="1231" t="s">
        <v>1472</v>
      </c>
      <c r="C75" s="194">
        <v>88005.57</v>
      </c>
      <c r="D75" s="228">
        <v>88005.57</v>
      </c>
      <c r="E75" s="1232">
        <v>40749</v>
      </c>
      <c r="F75" s="194">
        <f t="shared" si="1"/>
        <v>0</v>
      </c>
    </row>
    <row r="76" spans="1:6" ht="12.75">
      <c r="A76" s="1231" t="s">
        <v>1473</v>
      </c>
      <c r="B76" s="1231" t="s">
        <v>1474</v>
      </c>
      <c r="C76" s="194">
        <v>25568.12</v>
      </c>
      <c r="D76" s="228">
        <v>25568.12</v>
      </c>
      <c r="E76" s="1232">
        <v>40749</v>
      </c>
      <c r="F76" s="194">
        <f t="shared" si="1"/>
        <v>0</v>
      </c>
    </row>
    <row r="77" spans="1:6" ht="12.75">
      <c r="A77" s="1231" t="s">
        <v>1475</v>
      </c>
      <c r="B77" s="1231" t="s">
        <v>1476</v>
      </c>
      <c r="C77" s="194">
        <v>5230.99</v>
      </c>
      <c r="D77" s="228">
        <v>5230.99</v>
      </c>
      <c r="E77" s="1232">
        <v>40742</v>
      </c>
      <c r="F77" s="194">
        <f t="shared" si="1"/>
        <v>0</v>
      </c>
    </row>
    <row r="78" spans="1:6" ht="12.75">
      <c r="A78" s="1231" t="s">
        <v>1477</v>
      </c>
      <c r="B78" s="1231" t="s">
        <v>1478</v>
      </c>
      <c r="C78" s="194">
        <v>19573.62</v>
      </c>
      <c r="D78" s="228">
        <v>19573.62</v>
      </c>
      <c r="E78" s="1232">
        <v>40756</v>
      </c>
      <c r="F78" s="194">
        <f t="shared" si="1"/>
        <v>0</v>
      </c>
    </row>
    <row r="79" spans="1:6" ht="12.75">
      <c r="A79" s="1231" t="s">
        <v>1479</v>
      </c>
      <c r="B79" s="1231" t="s">
        <v>1480</v>
      </c>
      <c r="C79" s="194">
        <v>14304.77</v>
      </c>
      <c r="D79" s="228">
        <v>14304.77</v>
      </c>
      <c r="E79" s="1232">
        <v>40749</v>
      </c>
      <c r="F79" s="194">
        <f t="shared" si="1"/>
        <v>0</v>
      </c>
    </row>
    <row r="80" spans="1:6" ht="12.75">
      <c r="A80" s="1231" t="s">
        <v>1481</v>
      </c>
      <c r="B80" s="1231" t="s">
        <v>1482</v>
      </c>
      <c r="C80" s="194">
        <v>5849.37</v>
      </c>
      <c r="D80" s="228">
        <v>5849.37</v>
      </c>
      <c r="E80" s="1232">
        <v>40729</v>
      </c>
      <c r="F80" s="194">
        <f t="shared" si="1"/>
        <v>0</v>
      </c>
    </row>
    <row r="81" spans="1:6" ht="12.75">
      <c r="A81" s="1231" t="s">
        <v>1483</v>
      </c>
      <c r="B81" s="1231" t="s">
        <v>1484</v>
      </c>
      <c r="C81" s="194">
        <v>43709.37</v>
      </c>
      <c r="D81" s="228">
        <v>43709.37</v>
      </c>
      <c r="E81" s="1232">
        <v>40718</v>
      </c>
      <c r="F81" s="194">
        <f t="shared" si="1"/>
        <v>0</v>
      </c>
    </row>
    <row r="82" spans="1:6" ht="12.75">
      <c r="A82" s="1231" t="s">
        <v>1485</v>
      </c>
      <c r="B82" s="1231" t="s">
        <v>1486</v>
      </c>
      <c r="C82" s="194">
        <v>13699.01</v>
      </c>
      <c r="D82" s="228">
        <v>13699.01</v>
      </c>
      <c r="E82" s="1232">
        <v>40718</v>
      </c>
      <c r="F82" s="194">
        <f t="shared" si="1"/>
        <v>0</v>
      </c>
    </row>
    <row r="83" spans="1:6" ht="12.75">
      <c r="A83" s="1231" t="s">
        <v>1487</v>
      </c>
      <c r="B83" s="1231" t="s">
        <v>1488</v>
      </c>
      <c r="C83" s="194">
        <v>4625.23</v>
      </c>
      <c r="D83" s="228">
        <v>4625.23</v>
      </c>
      <c r="E83" s="1232">
        <v>40717</v>
      </c>
      <c r="F83" s="194">
        <f t="shared" si="1"/>
        <v>0</v>
      </c>
    </row>
    <row r="84" spans="1:6" ht="12.75">
      <c r="A84" s="1231" t="s">
        <v>1489</v>
      </c>
      <c r="B84" s="1231" t="s">
        <v>1490</v>
      </c>
      <c r="C84" s="194">
        <v>42769.18</v>
      </c>
      <c r="D84" s="228">
        <v>42769.18</v>
      </c>
      <c r="E84" s="1232">
        <v>40714</v>
      </c>
      <c r="F84" s="194">
        <f t="shared" si="1"/>
        <v>0</v>
      </c>
    </row>
    <row r="85" spans="1:6" ht="12.75">
      <c r="A85" s="1231" t="s">
        <v>1491</v>
      </c>
      <c r="B85" s="1231" t="s">
        <v>1492</v>
      </c>
      <c r="C85" s="194">
        <v>13818.9</v>
      </c>
      <c r="D85" s="228">
        <v>13818.9</v>
      </c>
      <c r="E85" s="1232">
        <v>40749</v>
      </c>
      <c r="F85" s="194">
        <f t="shared" si="1"/>
        <v>0</v>
      </c>
    </row>
    <row r="86" spans="1:6" ht="12.75">
      <c r="A86" s="1231" t="s">
        <v>1493</v>
      </c>
      <c r="B86" s="1231" t="s">
        <v>1494</v>
      </c>
      <c r="C86" s="194">
        <v>2498.76</v>
      </c>
      <c r="D86" s="228">
        <v>2498.76</v>
      </c>
      <c r="E86" s="1232">
        <v>40759</v>
      </c>
      <c r="F86" s="194">
        <f t="shared" si="1"/>
        <v>0</v>
      </c>
    </row>
    <row r="87" spans="1:6" ht="12.75">
      <c r="A87" s="1231" t="s">
        <v>1495</v>
      </c>
      <c r="B87" s="1231" t="s">
        <v>1496</v>
      </c>
      <c r="C87" s="194">
        <v>590407.77</v>
      </c>
      <c r="D87" s="228">
        <v>590407.77</v>
      </c>
      <c r="E87" s="1232">
        <v>40757</v>
      </c>
      <c r="F87" s="194">
        <f t="shared" si="1"/>
        <v>0</v>
      </c>
    </row>
    <row r="88" spans="1:6" ht="12.75">
      <c r="A88" s="1231" t="s">
        <v>1497</v>
      </c>
      <c r="B88" s="1231" t="s">
        <v>1498</v>
      </c>
      <c r="C88" s="194">
        <v>3697.66</v>
      </c>
      <c r="D88" s="228">
        <v>3697.66</v>
      </c>
      <c r="E88" s="1232">
        <v>40753</v>
      </c>
      <c r="F88" s="194">
        <f t="shared" si="1"/>
        <v>0</v>
      </c>
    </row>
    <row r="89" spans="1:6" ht="12.75">
      <c r="A89" s="1231" t="s">
        <v>1499</v>
      </c>
      <c r="B89" s="1231" t="s">
        <v>1500</v>
      </c>
      <c r="C89" s="194">
        <v>46656.14</v>
      </c>
      <c r="D89" s="228">
        <v>46656.14</v>
      </c>
      <c r="E89" s="1232">
        <v>40753</v>
      </c>
      <c r="F89" s="194">
        <f t="shared" si="1"/>
        <v>0</v>
      </c>
    </row>
    <row r="90" spans="1:6" ht="12.75">
      <c r="A90" s="1231" t="s">
        <v>1501</v>
      </c>
      <c r="B90" s="1231" t="s">
        <v>1502</v>
      </c>
      <c r="C90" s="194">
        <v>23492.13</v>
      </c>
      <c r="D90" s="228">
        <v>23492.13</v>
      </c>
      <c r="E90" s="1232">
        <v>40756</v>
      </c>
      <c r="F90" s="194">
        <f t="shared" si="1"/>
        <v>0</v>
      </c>
    </row>
    <row r="91" spans="1:6" ht="12.75">
      <c r="A91" s="1231" t="s">
        <v>1503</v>
      </c>
      <c r="B91" s="1231" t="s">
        <v>1504</v>
      </c>
      <c r="C91" s="194">
        <v>87614.35</v>
      </c>
      <c r="D91" s="228">
        <v>87614.35</v>
      </c>
      <c r="E91" s="1232">
        <v>40739</v>
      </c>
      <c r="F91" s="194">
        <f t="shared" si="1"/>
        <v>0</v>
      </c>
    </row>
    <row r="92" spans="1:6" ht="12.75">
      <c r="A92" s="1231" t="s">
        <v>1505</v>
      </c>
      <c r="B92" s="1231" t="s">
        <v>1506</v>
      </c>
      <c r="C92" s="194">
        <v>1547668.4</v>
      </c>
      <c r="D92" s="228">
        <v>1547668.4</v>
      </c>
      <c r="E92" s="1232">
        <v>40770</v>
      </c>
      <c r="F92" s="194">
        <f t="shared" si="1"/>
        <v>0</v>
      </c>
    </row>
    <row r="93" spans="1:6" ht="12.75">
      <c r="A93" s="1231" t="s">
        <v>1507</v>
      </c>
      <c r="B93" s="1231" t="s">
        <v>1508</v>
      </c>
      <c r="C93" s="194">
        <v>15484.74</v>
      </c>
      <c r="D93" s="228">
        <v>15484.74</v>
      </c>
      <c r="E93" s="1232">
        <v>40735</v>
      </c>
      <c r="F93" s="194">
        <f t="shared" si="1"/>
        <v>0</v>
      </c>
    </row>
    <row r="94" spans="1:6" ht="12.75">
      <c r="A94" s="1231" t="s">
        <v>1509</v>
      </c>
      <c r="B94" s="1231" t="s">
        <v>1510</v>
      </c>
      <c r="C94" s="194">
        <v>29057.55</v>
      </c>
      <c r="D94" s="228">
        <v>29057.55</v>
      </c>
      <c r="E94" s="1232">
        <v>40760</v>
      </c>
      <c r="F94" s="194">
        <f t="shared" si="1"/>
        <v>0</v>
      </c>
    </row>
    <row r="95" spans="1:6" ht="12.75">
      <c r="A95" s="1231" t="s">
        <v>1511</v>
      </c>
      <c r="B95" s="1231" t="s">
        <v>1512</v>
      </c>
      <c r="C95" s="194">
        <v>14796.95</v>
      </c>
      <c r="D95" s="228">
        <v>14796.95</v>
      </c>
      <c r="E95" s="1232">
        <v>40746</v>
      </c>
      <c r="F95" s="194">
        <f t="shared" si="1"/>
        <v>0</v>
      </c>
    </row>
    <row r="96" spans="1:6" ht="12.75">
      <c r="A96" s="1231" t="s">
        <v>1513</v>
      </c>
      <c r="B96" s="1231" t="s">
        <v>1514</v>
      </c>
      <c r="C96" s="194">
        <v>58228.68</v>
      </c>
      <c r="D96" s="228">
        <v>58228.68</v>
      </c>
      <c r="E96" s="1232">
        <v>40753</v>
      </c>
      <c r="F96" s="194">
        <f t="shared" si="1"/>
        <v>0</v>
      </c>
    </row>
    <row r="97" spans="1:6" ht="12.75">
      <c r="A97" s="1231" t="s">
        <v>1515</v>
      </c>
      <c r="B97" s="1231" t="s">
        <v>1516</v>
      </c>
      <c r="C97" s="194">
        <v>15099.83</v>
      </c>
      <c r="D97" s="228">
        <v>15099.83</v>
      </c>
      <c r="E97" s="1232">
        <v>40746</v>
      </c>
      <c r="F97" s="194">
        <f t="shared" si="1"/>
        <v>0</v>
      </c>
    </row>
    <row r="98" spans="1:6" ht="12.75">
      <c r="A98" s="1231" t="s">
        <v>1517</v>
      </c>
      <c r="B98" s="1231" t="s">
        <v>1518</v>
      </c>
      <c r="C98" s="194">
        <v>7004.1</v>
      </c>
      <c r="D98" s="228">
        <v>7004.1</v>
      </c>
      <c r="E98" s="1232">
        <v>40742</v>
      </c>
      <c r="F98" s="194">
        <f t="shared" si="1"/>
        <v>0</v>
      </c>
    </row>
    <row r="99" spans="1:6" ht="12.75">
      <c r="A99" s="1231" t="s">
        <v>1519</v>
      </c>
      <c r="B99" s="1231" t="s">
        <v>1520</v>
      </c>
      <c r="C99" s="194">
        <v>11143.46</v>
      </c>
      <c r="D99" s="228">
        <v>11143.46</v>
      </c>
      <c r="E99" s="1232">
        <v>40758</v>
      </c>
      <c r="F99" s="194">
        <f t="shared" si="1"/>
        <v>0</v>
      </c>
    </row>
    <row r="100" spans="1:6" ht="12.75">
      <c r="A100" s="1231" t="s">
        <v>1521</v>
      </c>
      <c r="B100" s="1231" t="s">
        <v>1522</v>
      </c>
      <c r="C100" s="194">
        <v>20141.52</v>
      </c>
      <c r="D100" s="228">
        <v>20141.52</v>
      </c>
      <c r="E100" s="1232">
        <v>40756</v>
      </c>
      <c r="F100" s="194">
        <f t="shared" si="1"/>
        <v>0</v>
      </c>
    </row>
    <row r="101" spans="1:6" ht="12.75">
      <c r="A101" s="1231" t="s">
        <v>1523</v>
      </c>
      <c r="B101" s="1231" t="s">
        <v>1524</v>
      </c>
      <c r="C101" s="194">
        <v>14689.68</v>
      </c>
      <c r="D101" s="228">
        <v>14689.68</v>
      </c>
      <c r="E101" s="1232">
        <v>40711</v>
      </c>
      <c r="F101" s="194">
        <f t="shared" si="1"/>
        <v>0</v>
      </c>
    </row>
    <row r="102" spans="1:6" ht="12.75">
      <c r="A102" s="1231" t="s">
        <v>1525</v>
      </c>
      <c r="B102" s="1231" t="s">
        <v>1526</v>
      </c>
      <c r="C102" s="194">
        <v>25246.31</v>
      </c>
      <c r="D102" s="228">
        <v>25246.31</v>
      </c>
      <c r="E102" s="1232">
        <v>40763</v>
      </c>
      <c r="F102" s="194">
        <f t="shared" si="1"/>
        <v>0</v>
      </c>
    </row>
    <row r="103" spans="1:6" ht="12.75">
      <c r="A103" s="1231" t="s">
        <v>1527</v>
      </c>
      <c r="B103" s="1231" t="s">
        <v>1528</v>
      </c>
      <c r="C103" s="194">
        <v>7855.95</v>
      </c>
      <c r="D103" s="228">
        <v>7855.95</v>
      </c>
      <c r="E103" s="1232">
        <v>40714</v>
      </c>
      <c r="F103" s="194">
        <f t="shared" si="1"/>
        <v>0</v>
      </c>
    </row>
    <row r="104" spans="1:6" ht="12.75">
      <c r="A104" s="1231" t="s">
        <v>1529</v>
      </c>
      <c r="B104" s="1231" t="s">
        <v>1530</v>
      </c>
      <c r="C104" s="194">
        <v>22122.86</v>
      </c>
      <c r="D104" s="228">
        <v>22122.86</v>
      </c>
      <c r="E104" s="1232">
        <v>40721</v>
      </c>
      <c r="F104" s="194">
        <f t="shared" si="1"/>
        <v>0</v>
      </c>
    </row>
    <row r="105" spans="1:6" ht="12.75">
      <c r="A105" s="1231" t="s">
        <v>1531</v>
      </c>
      <c r="B105" s="1231" t="s">
        <v>1532</v>
      </c>
      <c r="C105" s="194">
        <v>5565.42</v>
      </c>
      <c r="D105" s="228">
        <v>5565.42</v>
      </c>
      <c r="E105" s="1232">
        <v>40735</v>
      </c>
      <c r="F105" s="194">
        <f t="shared" si="1"/>
        <v>0</v>
      </c>
    </row>
    <row r="106" spans="1:6" ht="12.75">
      <c r="A106" s="1231" t="s">
        <v>1533</v>
      </c>
      <c r="B106" s="1231" t="s">
        <v>1534</v>
      </c>
      <c r="C106" s="194">
        <v>5464.46</v>
      </c>
      <c r="D106" s="228">
        <v>5464.46</v>
      </c>
      <c r="E106" s="1232">
        <v>40771</v>
      </c>
      <c r="F106" s="194">
        <f t="shared" si="1"/>
        <v>0</v>
      </c>
    </row>
    <row r="107" spans="1:6" ht="12.75">
      <c r="A107" s="1231" t="s">
        <v>1535</v>
      </c>
      <c r="B107" s="1231" t="s">
        <v>1536</v>
      </c>
      <c r="C107" s="194">
        <v>67479.14</v>
      </c>
      <c r="D107" s="228">
        <v>67479.14</v>
      </c>
      <c r="E107" s="1232">
        <v>40714</v>
      </c>
      <c r="F107" s="194">
        <f t="shared" si="1"/>
        <v>0</v>
      </c>
    </row>
    <row r="108" spans="1:6" ht="12.75">
      <c r="A108" s="1231" t="s">
        <v>1537</v>
      </c>
      <c r="B108" s="1231" t="s">
        <v>1538</v>
      </c>
      <c r="C108" s="194">
        <v>13989.27</v>
      </c>
      <c r="D108" s="228">
        <v>13989.27</v>
      </c>
      <c r="E108" s="1232">
        <v>40724</v>
      </c>
      <c r="F108" s="194">
        <f t="shared" si="1"/>
        <v>0</v>
      </c>
    </row>
    <row r="109" spans="1:6" ht="12.75">
      <c r="A109" s="1231" t="s">
        <v>1539</v>
      </c>
      <c r="B109" s="1231" t="s">
        <v>1540</v>
      </c>
      <c r="C109" s="194">
        <v>19882.81</v>
      </c>
      <c r="D109" s="228">
        <v>19882.81</v>
      </c>
      <c r="E109" s="1232">
        <v>40744</v>
      </c>
      <c r="F109" s="194">
        <f t="shared" si="1"/>
        <v>0</v>
      </c>
    </row>
    <row r="110" spans="1:6" ht="12.75">
      <c r="A110" s="1231" t="s">
        <v>1541</v>
      </c>
      <c r="B110" s="1231" t="s">
        <v>1542</v>
      </c>
      <c r="C110" s="194">
        <v>29404.6</v>
      </c>
      <c r="D110" s="228">
        <v>29404.6</v>
      </c>
      <c r="E110" s="1232">
        <v>40767</v>
      </c>
      <c r="F110" s="194">
        <f t="shared" si="1"/>
        <v>0</v>
      </c>
    </row>
    <row r="111" spans="1:6" ht="12.75">
      <c r="A111" s="1231" t="s">
        <v>1543</v>
      </c>
      <c r="B111" s="1231" t="s">
        <v>1544</v>
      </c>
      <c r="C111" s="194">
        <v>13314.1</v>
      </c>
      <c r="D111" s="228">
        <v>13314.1</v>
      </c>
      <c r="E111" s="1232">
        <v>40714</v>
      </c>
      <c r="F111" s="194">
        <f t="shared" si="1"/>
        <v>0</v>
      </c>
    </row>
    <row r="112" spans="1:6" ht="12.75">
      <c r="A112" s="1231" t="s">
        <v>1545</v>
      </c>
      <c r="B112" s="1231" t="s">
        <v>1546</v>
      </c>
      <c r="C112" s="194">
        <v>17339.88</v>
      </c>
      <c r="D112" s="228">
        <v>17339.88</v>
      </c>
      <c r="E112" s="1232">
        <v>40739</v>
      </c>
      <c r="F112" s="194">
        <f t="shared" si="1"/>
        <v>0</v>
      </c>
    </row>
    <row r="113" spans="1:6" ht="12.75">
      <c r="A113" s="1231" t="s">
        <v>1547</v>
      </c>
      <c r="B113" s="1231" t="s">
        <v>1548</v>
      </c>
      <c r="C113" s="194">
        <v>9162.12</v>
      </c>
      <c r="D113" s="228">
        <v>9162.12</v>
      </c>
      <c r="E113" s="1232">
        <v>40735</v>
      </c>
      <c r="F113" s="194">
        <f t="shared" si="1"/>
        <v>0</v>
      </c>
    </row>
    <row r="114" spans="1:6" ht="12.75">
      <c r="A114" s="1231" t="s">
        <v>1549</v>
      </c>
      <c r="B114" s="1231" t="s">
        <v>1550</v>
      </c>
      <c r="C114" s="194">
        <v>35696.75</v>
      </c>
      <c r="D114" s="228">
        <v>35696.75</v>
      </c>
      <c r="E114" s="1232">
        <v>40777</v>
      </c>
      <c r="F114" s="194">
        <f t="shared" si="1"/>
        <v>0</v>
      </c>
    </row>
    <row r="115" spans="1:6" ht="12.75">
      <c r="A115" s="1231" t="s">
        <v>1551</v>
      </c>
      <c r="B115" s="1231" t="s">
        <v>1552</v>
      </c>
      <c r="C115" s="194">
        <v>19163.47</v>
      </c>
      <c r="D115" s="228">
        <v>19163.47</v>
      </c>
      <c r="E115" s="1232">
        <v>40721</v>
      </c>
      <c r="F115" s="194">
        <f t="shared" si="1"/>
        <v>0</v>
      </c>
    </row>
    <row r="116" spans="1:6" ht="12.75">
      <c r="A116" s="1231" t="s">
        <v>1553</v>
      </c>
      <c r="B116" s="1231" t="s">
        <v>1554</v>
      </c>
      <c r="C116" s="194">
        <v>10203.27</v>
      </c>
      <c r="D116" s="228">
        <v>10203.27</v>
      </c>
      <c r="E116" s="1232">
        <v>40714</v>
      </c>
      <c r="F116" s="194">
        <f t="shared" si="1"/>
        <v>0</v>
      </c>
    </row>
    <row r="117" spans="1:6" ht="12.75">
      <c r="A117" s="1231" t="s">
        <v>1555</v>
      </c>
      <c r="B117" s="1231" t="s">
        <v>1556</v>
      </c>
      <c r="C117" s="194">
        <v>31139.85</v>
      </c>
      <c r="D117" s="228">
        <v>31139.85</v>
      </c>
      <c r="E117" s="1232">
        <v>40742</v>
      </c>
      <c r="F117" s="194">
        <f t="shared" si="1"/>
        <v>0</v>
      </c>
    </row>
    <row r="118" spans="1:6" ht="12.75">
      <c r="A118" s="1231" t="s">
        <v>1557</v>
      </c>
      <c r="B118" s="1231" t="s">
        <v>1558</v>
      </c>
      <c r="C118" s="194">
        <v>7262.81</v>
      </c>
      <c r="D118" s="228">
        <v>7262.81</v>
      </c>
      <c r="E118" s="1232">
        <v>40757</v>
      </c>
      <c r="F118" s="194">
        <f t="shared" si="1"/>
        <v>0</v>
      </c>
    </row>
    <row r="119" spans="1:6" ht="12.75">
      <c r="A119" s="1231" t="s">
        <v>1559</v>
      </c>
      <c r="B119" s="1231" t="s">
        <v>1560</v>
      </c>
      <c r="C119" s="194">
        <v>19592.55</v>
      </c>
      <c r="D119" s="228">
        <v>19592.55</v>
      </c>
      <c r="E119" s="1232">
        <v>40749</v>
      </c>
      <c r="F119" s="194">
        <f t="shared" si="1"/>
        <v>0</v>
      </c>
    </row>
    <row r="120" spans="1:6" ht="12.75">
      <c r="A120" s="1231" t="s">
        <v>1561</v>
      </c>
      <c r="B120" s="1231" t="s">
        <v>1562</v>
      </c>
      <c r="C120" s="194">
        <v>10026.59</v>
      </c>
      <c r="D120" s="228">
        <v>10026.59</v>
      </c>
      <c r="E120" s="1232">
        <v>40770</v>
      </c>
      <c r="F120" s="194">
        <f t="shared" si="1"/>
        <v>0</v>
      </c>
    </row>
    <row r="121" spans="1:6" ht="12.75">
      <c r="A121" s="1231" t="s">
        <v>1563</v>
      </c>
      <c r="B121" s="1231" t="s">
        <v>1564</v>
      </c>
      <c r="C121" s="194">
        <v>9332.49</v>
      </c>
      <c r="D121" s="228">
        <v>9332.49</v>
      </c>
      <c r="E121" s="1232">
        <v>40749</v>
      </c>
      <c r="F121" s="194">
        <f t="shared" si="1"/>
        <v>0</v>
      </c>
    </row>
    <row r="122" spans="1:6" ht="12.75">
      <c r="A122" s="1231" t="s">
        <v>1565</v>
      </c>
      <c r="B122" s="1231" t="s">
        <v>1566</v>
      </c>
      <c r="C122" s="194">
        <v>11995.31</v>
      </c>
      <c r="D122" s="228">
        <v>11995.31</v>
      </c>
      <c r="E122" s="1232">
        <v>40749</v>
      </c>
      <c r="F122" s="194">
        <f t="shared" si="1"/>
        <v>0</v>
      </c>
    </row>
    <row r="123" spans="1:6" ht="12.75">
      <c r="A123" s="1231" t="s">
        <v>1567</v>
      </c>
      <c r="B123" s="1231" t="s">
        <v>1568</v>
      </c>
      <c r="C123" s="194">
        <v>28401.31</v>
      </c>
      <c r="D123" s="228">
        <v>28401.31</v>
      </c>
      <c r="E123" s="1232">
        <v>40749</v>
      </c>
      <c r="F123" s="194">
        <f t="shared" si="1"/>
        <v>0</v>
      </c>
    </row>
    <row r="124" spans="1:6" ht="12.75">
      <c r="A124" s="1231" t="s">
        <v>1569</v>
      </c>
      <c r="B124" s="1231" t="s">
        <v>1570</v>
      </c>
      <c r="C124" s="194">
        <v>5262.54</v>
      </c>
      <c r="D124" s="228">
        <v>5262.54</v>
      </c>
      <c r="E124" s="1232">
        <v>40725</v>
      </c>
      <c r="F124" s="194">
        <f t="shared" si="1"/>
        <v>0</v>
      </c>
    </row>
    <row r="125" spans="1:6" ht="12.75">
      <c r="A125" s="1231" t="s">
        <v>1571</v>
      </c>
      <c r="B125" s="1231" t="s">
        <v>1572</v>
      </c>
      <c r="C125" s="194">
        <v>13143.73</v>
      </c>
      <c r="D125" s="228">
        <v>13143.73</v>
      </c>
      <c r="E125" s="1232">
        <v>40729</v>
      </c>
      <c r="F125" s="194">
        <f t="shared" si="1"/>
        <v>0</v>
      </c>
    </row>
    <row r="126" spans="1:6" ht="12.75">
      <c r="A126" s="1231" t="s">
        <v>1573</v>
      </c>
      <c r="B126" s="1231" t="s">
        <v>1574</v>
      </c>
      <c r="C126" s="194">
        <v>31821.33</v>
      </c>
      <c r="D126" s="228">
        <v>31821.33</v>
      </c>
      <c r="E126" s="1232">
        <v>40711</v>
      </c>
      <c r="F126" s="194">
        <f t="shared" si="1"/>
        <v>0</v>
      </c>
    </row>
    <row r="127" spans="1:6" ht="12.75">
      <c r="A127" s="1231" t="s">
        <v>1575</v>
      </c>
      <c r="B127" s="1231" t="s">
        <v>1576</v>
      </c>
      <c r="C127" s="194">
        <v>8770.9</v>
      </c>
      <c r="D127" s="228">
        <v>8770.9</v>
      </c>
      <c r="E127" s="1232">
        <v>40771</v>
      </c>
      <c r="F127" s="194">
        <f t="shared" si="1"/>
        <v>0</v>
      </c>
    </row>
    <row r="128" spans="1:6" ht="12.75">
      <c r="A128" s="1231" t="s">
        <v>1577</v>
      </c>
      <c r="B128" s="1231" t="s">
        <v>1578</v>
      </c>
      <c r="C128" s="194">
        <v>29524.49</v>
      </c>
      <c r="D128" s="228">
        <v>29524.49</v>
      </c>
      <c r="E128" s="1232">
        <v>40729</v>
      </c>
      <c r="F128" s="194">
        <f t="shared" si="1"/>
        <v>0</v>
      </c>
    </row>
    <row r="129" spans="1:6" ht="12.75">
      <c r="A129" s="1231" t="s">
        <v>1579</v>
      </c>
      <c r="B129" s="1231" t="s">
        <v>1580</v>
      </c>
      <c r="C129" s="194">
        <v>11818.63</v>
      </c>
      <c r="D129" s="228">
        <v>11818.63</v>
      </c>
      <c r="E129" s="1232">
        <v>40756</v>
      </c>
      <c r="F129" s="194">
        <f t="shared" si="1"/>
        <v>0</v>
      </c>
    </row>
    <row r="130" spans="1:6" ht="12.75">
      <c r="A130" s="1231" t="s">
        <v>1581</v>
      </c>
      <c r="B130" s="1231" t="s">
        <v>1582</v>
      </c>
      <c r="C130" s="194">
        <v>7313.29</v>
      </c>
      <c r="D130" s="228">
        <v>7313.29</v>
      </c>
      <c r="E130" s="1232">
        <v>40718</v>
      </c>
      <c r="F130" s="194">
        <f aca="true" t="shared" si="2" ref="F130:F176">C130-D130</f>
        <v>0</v>
      </c>
    </row>
    <row r="131" spans="1:6" ht="12.75">
      <c r="A131" s="1231" t="s">
        <v>1583</v>
      </c>
      <c r="B131" s="1231" t="s">
        <v>1584</v>
      </c>
      <c r="C131" s="194">
        <v>23959.07</v>
      </c>
      <c r="D131" s="228">
        <v>23959.07</v>
      </c>
      <c r="E131" s="1232">
        <v>40742</v>
      </c>
      <c r="F131" s="194">
        <f t="shared" si="2"/>
        <v>0</v>
      </c>
    </row>
    <row r="132" spans="1:6" ht="12.75">
      <c r="A132" s="1231" t="s">
        <v>1585</v>
      </c>
      <c r="B132" s="1231" t="s">
        <v>1586</v>
      </c>
      <c r="C132" s="194">
        <v>73763.9</v>
      </c>
      <c r="D132" s="228">
        <v>73763.9</v>
      </c>
      <c r="E132" s="1232">
        <v>40725</v>
      </c>
      <c r="F132" s="194">
        <f t="shared" si="2"/>
        <v>0</v>
      </c>
    </row>
    <row r="133" spans="1:6" ht="12.75">
      <c r="A133" s="1231" t="s">
        <v>1587</v>
      </c>
      <c r="B133" s="1231" t="s">
        <v>1588</v>
      </c>
      <c r="C133" s="194">
        <v>11711.36</v>
      </c>
      <c r="D133" s="228">
        <v>11711.36</v>
      </c>
      <c r="E133" s="1232">
        <v>40718</v>
      </c>
      <c r="F133" s="194">
        <f t="shared" si="2"/>
        <v>0</v>
      </c>
    </row>
    <row r="134" spans="1:6" ht="12.75">
      <c r="A134" s="1231" t="s">
        <v>1589</v>
      </c>
      <c r="B134" s="1231" t="s">
        <v>1590</v>
      </c>
      <c r="C134" s="194">
        <v>25101.18</v>
      </c>
      <c r="D134" s="228">
        <v>25101.18</v>
      </c>
      <c r="E134" s="1232">
        <v>40757</v>
      </c>
      <c r="F134" s="194">
        <f t="shared" si="2"/>
        <v>0</v>
      </c>
    </row>
    <row r="135" spans="1:6" ht="12.75">
      <c r="A135" s="1231" t="s">
        <v>1591</v>
      </c>
      <c r="B135" s="1231" t="s">
        <v>1592</v>
      </c>
      <c r="C135" s="194">
        <v>4852.39</v>
      </c>
      <c r="D135" s="228">
        <v>4852.39</v>
      </c>
      <c r="E135" s="1232">
        <v>40714</v>
      </c>
      <c r="F135" s="194">
        <f t="shared" si="2"/>
        <v>0</v>
      </c>
    </row>
    <row r="136" spans="1:6" ht="12.75">
      <c r="A136" s="1231" t="s">
        <v>1593</v>
      </c>
      <c r="B136" s="1231" t="s">
        <v>1594</v>
      </c>
      <c r="C136" s="194">
        <v>16986.52</v>
      </c>
      <c r="D136" s="228">
        <v>16986.52</v>
      </c>
      <c r="E136" s="1232">
        <v>40753</v>
      </c>
      <c r="F136" s="194">
        <f t="shared" si="2"/>
        <v>0</v>
      </c>
    </row>
    <row r="137" spans="1:6" ht="12.75">
      <c r="A137" s="1231" t="s">
        <v>1595</v>
      </c>
      <c r="B137" s="1231" t="s">
        <v>1596</v>
      </c>
      <c r="C137" s="194">
        <v>5092.17</v>
      </c>
      <c r="D137" s="228">
        <v>5092.17</v>
      </c>
      <c r="E137" s="1232">
        <v>40711</v>
      </c>
      <c r="F137" s="194">
        <f t="shared" si="2"/>
        <v>0</v>
      </c>
    </row>
    <row r="138" spans="1:6" ht="12.75">
      <c r="A138" s="1231" t="s">
        <v>1597</v>
      </c>
      <c r="B138" s="1231" t="s">
        <v>1598</v>
      </c>
      <c r="C138" s="194">
        <v>4713.57</v>
      </c>
      <c r="D138" s="228">
        <v>4713.57</v>
      </c>
      <c r="E138" s="1232">
        <v>40749</v>
      </c>
      <c r="F138" s="194">
        <f t="shared" si="2"/>
        <v>0</v>
      </c>
    </row>
    <row r="139" spans="1:6" ht="12.75">
      <c r="A139" s="1231" t="s">
        <v>1599</v>
      </c>
      <c r="B139" s="1231" t="s">
        <v>1600</v>
      </c>
      <c r="C139" s="194">
        <v>16273.49</v>
      </c>
      <c r="D139" s="228">
        <v>16273.49</v>
      </c>
      <c r="E139" s="1232">
        <v>40750</v>
      </c>
      <c r="F139" s="194">
        <f t="shared" si="2"/>
        <v>0</v>
      </c>
    </row>
    <row r="140" spans="1:6" ht="12.75">
      <c r="A140" s="1231" t="s">
        <v>1601</v>
      </c>
      <c r="B140" s="1231" t="s">
        <v>1602</v>
      </c>
      <c r="C140" s="194">
        <v>26369.49</v>
      </c>
      <c r="D140" s="228">
        <v>26369.49</v>
      </c>
      <c r="E140" s="1232">
        <v>40760</v>
      </c>
      <c r="F140" s="194">
        <f t="shared" si="2"/>
        <v>0</v>
      </c>
    </row>
    <row r="141" spans="1:6" ht="12.75">
      <c r="A141" s="1231" t="s">
        <v>1603</v>
      </c>
      <c r="B141" s="1231" t="s">
        <v>1604</v>
      </c>
      <c r="C141" s="194">
        <v>60727.44</v>
      </c>
      <c r="D141" s="228">
        <v>60727.44</v>
      </c>
      <c r="E141" s="1232">
        <v>40749</v>
      </c>
      <c r="F141" s="194">
        <f t="shared" si="2"/>
        <v>0</v>
      </c>
    </row>
    <row r="142" spans="1:6" ht="12.75">
      <c r="A142" s="1231" t="s">
        <v>1605</v>
      </c>
      <c r="B142" s="1231" t="s">
        <v>1606</v>
      </c>
      <c r="C142" s="194">
        <v>7515.21</v>
      </c>
      <c r="D142" s="228">
        <v>7515.21</v>
      </c>
      <c r="E142" s="1232">
        <v>40731</v>
      </c>
      <c r="F142" s="194">
        <f t="shared" si="2"/>
        <v>0</v>
      </c>
    </row>
    <row r="143" spans="1:6" ht="12.75">
      <c r="A143" s="1231" t="s">
        <v>1607</v>
      </c>
      <c r="B143" s="1231" t="s">
        <v>1608</v>
      </c>
      <c r="C143" s="194">
        <v>3375.85</v>
      </c>
      <c r="D143" s="228">
        <v>3375.85</v>
      </c>
      <c r="E143" s="1232">
        <v>40749</v>
      </c>
      <c r="F143" s="194">
        <f t="shared" si="2"/>
        <v>0</v>
      </c>
    </row>
    <row r="144" spans="1:6" ht="12.75">
      <c r="A144" s="1231" t="s">
        <v>1609</v>
      </c>
      <c r="B144" s="1231" t="s">
        <v>1610</v>
      </c>
      <c r="C144" s="194">
        <v>15383.78</v>
      </c>
      <c r="D144" s="228">
        <v>15383.78</v>
      </c>
      <c r="E144" s="1232">
        <v>40729</v>
      </c>
      <c r="F144" s="194">
        <f t="shared" si="2"/>
        <v>0</v>
      </c>
    </row>
    <row r="145" spans="1:6" ht="12.75">
      <c r="A145" s="1231" t="s">
        <v>1611</v>
      </c>
      <c r="B145" s="1231" t="s">
        <v>1612</v>
      </c>
      <c r="C145" s="194">
        <v>49937.34</v>
      </c>
      <c r="D145" s="228">
        <v>49937.34</v>
      </c>
      <c r="E145" s="1232">
        <v>40742</v>
      </c>
      <c r="F145" s="194">
        <f t="shared" si="2"/>
        <v>0</v>
      </c>
    </row>
    <row r="146" spans="1:6" ht="12.75">
      <c r="A146" s="1231" t="s">
        <v>1613</v>
      </c>
      <c r="B146" s="1231" t="s">
        <v>1614</v>
      </c>
      <c r="C146" s="194">
        <v>6587.64</v>
      </c>
      <c r="D146" s="228">
        <v>6587.64</v>
      </c>
      <c r="E146" s="1232">
        <v>40756</v>
      </c>
      <c r="F146" s="194">
        <f t="shared" si="2"/>
        <v>0</v>
      </c>
    </row>
    <row r="147" spans="1:6" ht="12.75">
      <c r="A147" s="1231" t="s">
        <v>1615</v>
      </c>
      <c r="B147" s="1231" t="s">
        <v>1616</v>
      </c>
      <c r="C147" s="194">
        <v>2240.05</v>
      </c>
      <c r="D147" s="228">
        <v>2240.05</v>
      </c>
      <c r="E147" s="1232">
        <v>40774</v>
      </c>
      <c r="F147" s="194">
        <f t="shared" si="2"/>
        <v>0</v>
      </c>
    </row>
    <row r="148" spans="1:6" ht="12.75">
      <c r="A148" s="1231" t="s">
        <v>1617</v>
      </c>
      <c r="B148" s="1231" t="s">
        <v>1618</v>
      </c>
      <c r="C148" s="194">
        <v>18267.45</v>
      </c>
      <c r="D148" s="228">
        <v>18267.45</v>
      </c>
      <c r="E148" s="1232">
        <v>40742</v>
      </c>
      <c r="F148" s="194">
        <f t="shared" si="2"/>
        <v>0</v>
      </c>
    </row>
    <row r="149" spans="1:6" ht="12.75">
      <c r="A149" s="1231" t="s">
        <v>1619</v>
      </c>
      <c r="B149" s="1231" t="s">
        <v>1620</v>
      </c>
      <c r="C149" s="194">
        <v>19857.57</v>
      </c>
      <c r="D149" s="228">
        <v>19857.57</v>
      </c>
      <c r="E149" s="1232">
        <v>40749</v>
      </c>
      <c r="F149" s="194">
        <f t="shared" si="2"/>
        <v>0</v>
      </c>
    </row>
    <row r="150" spans="1:6" ht="12.75">
      <c r="A150" s="1231" t="s">
        <v>1621</v>
      </c>
      <c r="B150" s="1231" t="s">
        <v>1622</v>
      </c>
      <c r="C150" s="194">
        <v>18349.48</v>
      </c>
      <c r="D150" s="228">
        <v>18349.48</v>
      </c>
      <c r="E150" s="1232">
        <v>40770</v>
      </c>
      <c r="F150" s="194">
        <f t="shared" si="2"/>
        <v>0</v>
      </c>
    </row>
    <row r="151" spans="1:6" ht="12.75">
      <c r="A151" s="1231" t="s">
        <v>1623</v>
      </c>
      <c r="B151" s="1231" t="s">
        <v>1624</v>
      </c>
      <c r="C151" s="194">
        <v>13976.65</v>
      </c>
      <c r="D151" s="228">
        <v>13976.65</v>
      </c>
      <c r="E151" s="1232">
        <v>40753</v>
      </c>
      <c r="F151" s="194">
        <f t="shared" si="2"/>
        <v>0</v>
      </c>
    </row>
    <row r="152" spans="1:6" ht="12.75">
      <c r="A152" s="1231" t="s">
        <v>1625</v>
      </c>
      <c r="B152" s="1231" t="s">
        <v>1626</v>
      </c>
      <c r="C152" s="194">
        <v>6417.27</v>
      </c>
      <c r="D152" s="228">
        <v>6417.27</v>
      </c>
      <c r="E152" s="1232">
        <v>40735</v>
      </c>
      <c r="F152" s="194">
        <f t="shared" si="2"/>
        <v>0</v>
      </c>
    </row>
    <row r="153" spans="1:6" ht="12.75">
      <c r="A153" s="1231" t="s">
        <v>1627</v>
      </c>
      <c r="B153" s="1231" t="s">
        <v>1628</v>
      </c>
      <c r="C153" s="194">
        <v>2782.71</v>
      </c>
      <c r="D153" s="228">
        <v>2782.71</v>
      </c>
      <c r="E153" s="1232">
        <v>40749</v>
      </c>
      <c r="F153" s="194">
        <f t="shared" si="2"/>
        <v>0</v>
      </c>
    </row>
    <row r="154" spans="1:6" ht="12.75">
      <c r="A154" s="1231" t="s">
        <v>1629</v>
      </c>
      <c r="B154" s="1231" t="s">
        <v>1630</v>
      </c>
      <c r="C154" s="194">
        <v>50233.91</v>
      </c>
      <c r="D154" s="228">
        <v>50233.91</v>
      </c>
      <c r="E154" s="1232">
        <v>40735</v>
      </c>
      <c r="F154" s="194">
        <f t="shared" si="2"/>
        <v>0</v>
      </c>
    </row>
    <row r="155" spans="1:6" ht="12.75">
      <c r="A155" s="1231" t="s">
        <v>1631</v>
      </c>
      <c r="B155" s="1231" t="s">
        <v>1632</v>
      </c>
      <c r="C155" s="194">
        <v>40674.26</v>
      </c>
      <c r="D155" s="228">
        <v>40674.26</v>
      </c>
      <c r="E155" s="1232">
        <v>40757</v>
      </c>
      <c r="F155" s="194">
        <f t="shared" si="2"/>
        <v>0</v>
      </c>
    </row>
    <row r="156" spans="1:6" ht="12.75">
      <c r="A156" s="1231" t="s">
        <v>1633</v>
      </c>
      <c r="B156" s="1231" t="s">
        <v>1634</v>
      </c>
      <c r="C156" s="194">
        <v>1331.41</v>
      </c>
      <c r="D156" s="228">
        <v>1331.41</v>
      </c>
      <c r="E156" s="1232">
        <v>40756</v>
      </c>
      <c r="F156" s="194">
        <f t="shared" si="2"/>
        <v>0</v>
      </c>
    </row>
    <row r="157" spans="1:6" ht="12.75">
      <c r="A157" s="1231" t="s">
        <v>1635</v>
      </c>
      <c r="B157" s="1231" t="s">
        <v>1636</v>
      </c>
      <c r="C157" s="194">
        <v>18721.77</v>
      </c>
      <c r="D157" s="228">
        <v>18721.77</v>
      </c>
      <c r="E157" s="1232">
        <v>40774</v>
      </c>
      <c r="F157" s="194">
        <f t="shared" si="2"/>
        <v>0</v>
      </c>
    </row>
    <row r="158" spans="1:6" ht="12.75">
      <c r="A158" s="1231" t="s">
        <v>1637</v>
      </c>
      <c r="B158" s="1231" t="s">
        <v>1638</v>
      </c>
      <c r="C158" s="194">
        <v>8998.06</v>
      </c>
      <c r="D158" s="228">
        <v>8998.06</v>
      </c>
      <c r="E158" s="1232">
        <v>40742</v>
      </c>
      <c r="F158" s="194">
        <f t="shared" si="2"/>
        <v>0</v>
      </c>
    </row>
    <row r="159" spans="1:6" ht="12.75">
      <c r="A159" s="1231" t="s">
        <v>1639</v>
      </c>
      <c r="B159" s="1231" t="s">
        <v>1640</v>
      </c>
      <c r="C159" s="194">
        <v>1381.89</v>
      </c>
      <c r="D159" s="228">
        <v>1381.89</v>
      </c>
      <c r="E159" s="1232">
        <v>40749</v>
      </c>
      <c r="F159" s="194">
        <f t="shared" si="2"/>
        <v>0</v>
      </c>
    </row>
    <row r="160" spans="1:6" ht="12.75">
      <c r="A160" s="1231" t="s">
        <v>1641</v>
      </c>
      <c r="B160" s="1231" t="s">
        <v>1642</v>
      </c>
      <c r="C160" s="194">
        <v>17415.6</v>
      </c>
      <c r="D160" s="228">
        <v>17415.6</v>
      </c>
      <c r="E160" s="1232">
        <v>40735</v>
      </c>
      <c r="F160" s="194">
        <f t="shared" si="2"/>
        <v>0</v>
      </c>
    </row>
    <row r="161" spans="1:6" ht="12.75">
      <c r="A161" s="1231" t="s">
        <v>1643</v>
      </c>
      <c r="B161" s="1231" t="s">
        <v>1644</v>
      </c>
      <c r="C161" s="194">
        <v>16727.81</v>
      </c>
      <c r="D161" s="228">
        <v>16727.81</v>
      </c>
      <c r="E161" s="1232">
        <v>40714</v>
      </c>
      <c r="F161" s="194">
        <f t="shared" si="2"/>
        <v>0</v>
      </c>
    </row>
    <row r="162" spans="1:6" ht="12.75">
      <c r="A162" s="1231" t="s">
        <v>1645</v>
      </c>
      <c r="B162" s="1231" t="s">
        <v>1646</v>
      </c>
      <c r="C162" s="194">
        <v>12487.49</v>
      </c>
      <c r="D162" s="228">
        <v>12487.49</v>
      </c>
      <c r="E162" s="1232">
        <v>40739</v>
      </c>
      <c r="F162" s="194">
        <f t="shared" si="2"/>
        <v>0</v>
      </c>
    </row>
    <row r="163" spans="1:6" ht="12.75">
      <c r="A163" s="1231" t="s">
        <v>1647</v>
      </c>
      <c r="B163" s="1231" t="s">
        <v>1648</v>
      </c>
      <c r="C163" s="194">
        <v>12790.37</v>
      </c>
      <c r="D163" s="228">
        <v>12790.37</v>
      </c>
      <c r="E163" s="1232">
        <v>40735</v>
      </c>
      <c r="F163" s="194">
        <f t="shared" si="2"/>
        <v>0</v>
      </c>
    </row>
    <row r="164" spans="1:6" ht="12.75">
      <c r="A164" s="1231" t="s">
        <v>1649</v>
      </c>
      <c r="B164" s="1231" t="s">
        <v>1650</v>
      </c>
      <c r="C164" s="194">
        <v>9382.97</v>
      </c>
      <c r="D164" s="228">
        <v>9382.97</v>
      </c>
      <c r="E164" s="1232">
        <v>40749</v>
      </c>
      <c r="F164" s="194">
        <f t="shared" si="2"/>
        <v>0</v>
      </c>
    </row>
    <row r="165" spans="1:6" ht="12.75">
      <c r="A165" s="1231" t="s">
        <v>1651</v>
      </c>
      <c r="B165" s="1231" t="s">
        <v>1652</v>
      </c>
      <c r="C165" s="194">
        <v>14525.62</v>
      </c>
      <c r="D165" s="228">
        <v>14525.62</v>
      </c>
      <c r="E165" s="1232">
        <v>40770</v>
      </c>
      <c r="F165" s="194">
        <f t="shared" si="2"/>
        <v>0</v>
      </c>
    </row>
    <row r="166" spans="1:6" ht="12.75">
      <c r="A166" s="1231" t="s">
        <v>1653</v>
      </c>
      <c r="B166" s="1231" t="s">
        <v>1654</v>
      </c>
      <c r="C166" s="194">
        <v>9338.8</v>
      </c>
      <c r="D166" s="228">
        <v>9338.8</v>
      </c>
      <c r="E166" s="1232">
        <v>40749</v>
      </c>
      <c r="F166" s="194">
        <f t="shared" si="2"/>
        <v>0</v>
      </c>
    </row>
    <row r="167" spans="1:6" ht="12.75">
      <c r="A167" s="1231" t="s">
        <v>1655</v>
      </c>
      <c r="B167" s="1231" t="s">
        <v>1656</v>
      </c>
      <c r="C167" s="194">
        <v>82654.69</v>
      </c>
      <c r="D167" s="228">
        <v>82654.69</v>
      </c>
      <c r="E167" s="1232">
        <v>40767</v>
      </c>
      <c r="F167" s="194">
        <f t="shared" si="2"/>
        <v>0</v>
      </c>
    </row>
    <row r="168" spans="1:6" ht="12.75">
      <c r="A168" s="1231" t="s">
        <v>1657</v>
      </c>
      <c r="B168" s="1231" t="s">
        <v>1658</v>
      </c>
      <c r="C168" s="194">
        <v>10443.05</v>
      </c>
      <c r="D168" s="228">
        <v>10443.05</v>
      </c>
      <c r="E168" s="1232">
        <v>40749</v>
      </c>
      <c r="F168" s="194">
        <f t="shared" si="2"/>
        <v>0</v>
      </c>
    </row>
    <row r="169" spans="1:6" ht="12.75">
      <c r="A169" s="1231" t="s">
        <v>1659</v>
      </c>
      <c r="B169" s="1231" t="s">
        <v>1660</v>
      </c>
      <c r="C169" s="194">
        <v>15402.71</v>
      </c>
      <c r="D169" s="228">
        <v>15402.71</v>
      </c>
      <c r="E169" s="1232">
        <v>40729</v>
      </c>
      <c r="F169" s="194">
        <f t="shared" si="2"/>
        <v>0</v>
      </c>
    </row>
    <row r="170" spans="1:6" ht="12.75">
      <c r="A170" s="1231" t="s">
        <v>1661</v>
      </c>
      <c r="B170" s="1231" t="s">
        <v>1662</v>
      </c>
      <c r="C170" s="194">
        <v>13516.02</v>
      </c>
      <c r="D170" s="228">
        <v>13516.02</v>
      </c>
      <c r="E170" s="1232">
        <v>40751</v>
      </c>
      <c r="F170" s="194">
        <f t="shared" si="2"/>
        <v>0</v>
      </c>
    </row>
    <row r="171" spans="1:6" ht="12.75">
      <c r="A171" s="1231" t="s">
        <v>1663</v>
      </c>
      <c r="B171" s="1231" t="s">
        <v>1664</v>
      </c>
      <c r="C171" s="194">
        <v>631</v>
      </c>
      <c r="D171" s="228">
        <v>631</v>
      </c>
      <c r="E171" s="1232">
        <v>40721</v>
      </c>
      <c r="F171" s="194">
        <f t="shared" si="2"/>
        <v>0</v>
      </c>
    </row>
    <row r="172" spans="1:6" ht="12.75">
      <c r="A172" s="1231" t="s">
        <v>1665</v>
      </c>
      <c r="B172" s="1231" t="s">
        <v>1666</v>
      </c>
      <c r="C172" s="194">
        <v>28338.21</v>
      </c>
      <c r="D172" s="228">
        <v>28338.21</v>
      </c>
      <c r="E172" s="1232">
        <v>40742</v>
      </c>
      <c r="F172" s="194">
        <f t="shared" si="2"/>
        <v>0</v>
      </c>
    </row>
    <row r="173" spans="1:6" ht="12.75">
      <c r="A173" s="1231" t="s">
        <v>1667</v>
      </c>
      <c r="B173" s="1231" t="s">
        <v>1668</v>
      </c>
      <c r="C173" s="194">
        <v>4625.23</v>
      </c>
      <c r="D173" s="228">
        <v>4625.23</v>
      </c>
      <c r="E173" s="1232">
        <v>40742</v>
      </c>
      <c r="F173" s="194">
        <f t="shared" si="2"/>
        <v>0</v>
      </c>
    </row>
    <row r="174" spans="1:6" ht="12.75">
      <c r="A174" s="1231" t="s">
        <v>1669</v>
      </c>
      <c r="B174" s="1231" t="s">
        <v>1670</v>
      </c>
      <c r="C174" s="194">
        <v>5641.14</v>
      </c>
      <c r="D174" s="228">
        <v>5641.14</v>
      </c>
      <c r="E174" s="1232">
        <v>40739</v>
      </c>
      <c r="F174" s="194">
        <f t="shared" si="2"/>
        <v>0</v>
      </c>
    </row>
    <row r="175" spans="1:6" ht="12.75">
      <c r="A175" s="1231" t="s">
        <v>1671</v>
      </c>
      <c r="B175" s="1231" t="s">
        <v>1672</v>
      </c>
      <c r="C175" s="194">
        <v>8045.25</v>
      </c>
      <c r="D175" s="228">
        <v>8045.25</v>
      </c>
      <c r="E175" s="1232">
        <v>40742</v>
      </c>
      <c r="F175" s="194">
        <f t="shared" si="2"/>
        <v>0</v>
      </c>
    </row>
    <row r="176" spans="1:7" ht="12.75">
      <c r="A176" s="1231" t="s">
        <v>1673</v>
      </c>
      <c r="B176" s="1231" t="s">
        <v>1674</v>
      </c>
      <c r="C176" s="194">
        <v>25221.07</v>
      </c>
      <c r="D176" s="228">
        <v>25221.07</v>
      </c>
      <c r="E176" s="1232">
        <v>40746</v>
      </c>
      <c r="F176" s="194">
        <f t="shared" si="2"/>
        <v>0</v>
      </c>
      <c r="G176" t="s">
        <v>1388</v>
      </c>
    </row>
    <row r="177" spans="3:6" ht="14.25">
      <c r="C177" s="1233">
        <f>SUM(C2:C176)</f>
        <v>5627467.549999996</v>
      </c>
      <c r="F177" s="1233">
        <f>SUM(F2:F176)</f>
        <v>0</v>
      </c>
    </row>
    <row r="179" ht="12.75">
      <c r="C179" s="194">
        <f>C177-C92</f>
        <v>4079799.149999996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80"/>
  <sheetViews>
    <sheetView zoomScalePageLayoutView="0" workbookViewId="0" topLeftCell="A169">
      <selection activeCell="C190" sqref="C190"/>
    </sheetView>
  </sheetViews>
  <sheetFormatPr defaultColWidth="9.140625" defaultRowHeight="12.75"/>
  <cols>
    <col min="1" max="1" width="14.8515625" style="0" bestFit="1" customWidth="1"/>
    <col min="2" max="2" width="34.8515625" style="0" bestFit="1" customWidth="1"/>
    <col min="3" max="3" width="17.28125" style="0" bestFit="1" customWidth="1"/>
    <col min="4" max="4" width="12.421875" style="0" bestFit="1" customWidth="1"/>
    <col min="5" max="5" width="12.8515625" style="0" bestFit="1" customWidth="1"/>
    <col min="6" max="6" width="12.7109375" style="0" bestFit="1" customWidth="1"/>
  </cols>
  <sheetData>
    <row r="1" spans="1:6" ht="14.25">
      <c r="A1" s="1228" t="s">
        <v>1318</v>
      </c>
      <c r="B1" s="1228" t="s">
        <v>1319</v>
      </c>
      <c r="C1" s="1229" t="s">
        <v>1320</v>
      </c>
      <c r="D1" s="1229" t="s">
        <v>1679</v>
      </c>
      <c r="E1" s="1230" t="s">
        <v>1322</v>
      </c>
      <c r="F1" s="1229" t="s">
        <v>1323</v>
      </c>
    </row>
    <row r="2" spans="1:6" ht="12.75">
      <c r="A2" t="s">
        <v>1680</v>
      </c>
      <c r="B2" t="s">
        <v>1325</v>
      </c>
      <c r="C2" s="228">
        <v>15875.96</v>
      </c>
      <c r="D2" s="228"/>
      <c r="E2" s="1232"/>
      <c r="F2" s="228">
        <f>C2-D2</f>
        <v>15875.96</v>
      </c>
    </row>
    <row r="3" spans="1:6" ht="12.75">
      <c r="A3" t="s">
        <v>1681</v>
      </c>
      <c r="B3" t="s">
        <v>1327</v>
      </c>
      <c r="C3" s="228">
        <v>18519.85</v>
      </c>
      <c r="D3" s="228"/>
      <c r="E3" s="1232"/>
      <c r="F3" s="228">
        <f aca="true" t="shared" si="0" ref="F3:F66">C3-D3</f>
        <v>18519.85</v>
      </c>
    </row>
    <row r="4" spans="1:6" ht="12.75">
      <c r="A4" t="s">
        <v>1682</v>
      </c>
      <c r="B4" t="s">
        <v>1329</v>
      </c>
      <c r="C4" s="228">
        <v>2265.29</v>
      </c>
      <c r="D4" s="228"/>
      <c r="E4" s="1232"/>
      <c r="F4" s="228">
        <f t="shared" si="0"/>
        <v>2265.29</v>
      </c>
    </row>
    <row r="5" spans="1:6" ht="12.75">
      <c r="A5" t="s">
        <v>1683</v>
      </c>
      <c r="B5" t="s">
        <v>1331</v>
      </c>
      <c r="C5" s="228">
        <v>24085.27</v>
      </c>
      <c r="D5" s="228">
        <v>24085.27</v>
      </c>
      <c r="E5" s="1232">
        <v>41054</v>
      </c>
      <c r="F5" s="228">
        <v>0</v>
      </c>
    </row>
    <row r="6" spans="1:6" ht="12.75">
      <c r="A6" t="s">
        <v>1684</v>
      </c>
      <c r="B6" t="s">
        <v>1333</v>
      </c>
      <c r="C6" s="228">
        <v>19573.620000000003</v>
      </c>
      <c r="D6" s="228">
        <v>19573.62</v>
      </c>
      <c r="E6" s="1232">
        <v>41053</v>
      </c>
      <c r="F6" s="228">
        <f t="shared" si="0"/>
        <v>0</v>
      </c>
    </row>
    <row r="7" spans="1:6" ht="12.75">
      <c r="A7" t="s">
        <v>1685</v>
      </c>
      <c r="B7" t="s">
        <v>1335</v>
      </c>
      <c r="C7" s="228">
        <v>1880.38</v>
      </c>
      <c r="D7" s="228"/>
      <c r="E7" s="1232"/>
      <c r="F7" s="228">
        <f t="shared" si="0"/>
        <v>1880.38</v>
      </c>
    </row>
    <row r="8" spans="1:6" ht="12.75">
      <c r="A8" t="s">
        <v>1686</v>
      </c>
      <c r="B8" t="s">
        <v>1337</v>
      </c>
      <c r="C8" s="228">
        <v>8562.67</v>
      </c>
      <c r="D8" s="228"/>
      <c r="E8" s="1232"/>
      <c r="F8" s="228">
        <f t="shared" si="0"/>
        <v>8562.67</v>
      </c>
    </row>
    <row r="9" spans="1:6" ht="12.75">
      <c r="A9" t="s">
        <v>1687</v>
      </c>
      <c r="B9" t="s">
        <v>1339</v>
      </c>
      <c r="C9" s="228">
        <v>4240.32</v>
      </c>
      <c r="D9" s="228"/>
      <c r="E9" s="1232"/>
      <c r="F9" s="228">
        <f t="shared" si="0"/>
        <v>4240.32</v>
      </c>
    </row>
    <row r="10" spans="1:6" ht="12.75">
      <c r="A10" t="s">
        <v>1688</v>
      </c>
      <c r="B10" t="s">
        <v>1341</v>
      </c>
      <c r="C10" s="228">
        <v>15232.34</v>
      </c>
      <c r="D10" s="228"/>
      <c r="E10" s="1232"/>
      <c r="F10" s="228">
        <f t="shared" si="0"/>
        <v>15232.34</v>
      </c>
    </row>
    <row r="11" spans="1:6" ht="12.75">
      <c r="A11" t="s">
        <v>1689</v>
      </c>
      <c r="B11" t="s">
        <v>1343</v>
      </c>
      <c r="C11" s="228">
        <v>29101.72</v>
      </c>
      <c r="D11" s="228"/>
      <c r="E11" s="1232"/>
      <c r="F11" s="228">
        <f t="shared" si="0"/>
        <v>29101.72</v>
      </c>
    </row>
    <row r="12" spans="1:6" ht="12.75">
      <c r="A12" t="s">
        <v>1690</v>
      </c>
      <c r="B12" t="s">
        <v>1345</v>
      </c>
      <c r="C12" s="228">
        <v>12720.960000000001</v>
      </c>
      <c r="D12" s="228"/>
      <c r="E12" s="1232"/>
      <c r="F12" s="228">
        <f t="shared" si="0"/>
        <v>12720.960000000001</v>
      </c>
    </row>
    <row r="13" spans="1:6" ht="12.75">
      <c r="A13" t="s">
        <v>1691</v>
      </c>
      <c r="B13" t="s">
        <v>1347</v>
      </c>
      <c r="C13" s="228">
        <v>7281.74</v>
      </c>
      <c r="D13" s="228"/>
      <c r="E13" s="1232"/>
      <c r="F13" s="228">
        <f t="shared" si="0"/>
        <v>7281.74</v>
      </c>
    </row>
    <row r="14" spans="1:6" ht="12.75">
      <c r="A14" t="s">
        <v>1692</v>
      </c>
      <c r="B14" t="s">
        <v>1349</v>
      </c>
      <c r="C14" s="228">
        <v>18147.56</v>
      </c>
      <c r="D14" s="228">
        <v>18147.56</v>
      </c>
      <c r="E14" s="1232">
        <v>41054</v>
      </c>
      <c r="F14" s="228">
        <f t="shared" si="0"/>
        <v>0</v>
      </c>
    </row>
    <row r="15" spans="1:6" ht="12.75">
      <c r="A15" t="s">
        <v>1693</v>
      </c>
      <c r="B15" t="s">
        <v>1351</v>
      </c>
      <c r="C15" s="228">
        <v>4694.64</v>
      </c>
      <c r="D15" s="228">
        <v>4694.64</v>
      </c>
      <c r="E15" s="1232">
        <v>41045</v>
      </c>
      <c r="F15" s="228">
        <f t="shared" si="0"/>
        <v>0</v>
      </c>
    </row>
    <row r="16" spans="1:6" ht="12.75">
      <c r="A16" t="s">
        <v>1694</v>
      </c>
      <c r="B16" t="s">
        <v>1353</v>
      </c>
      <c r="C16" s="228">
        <v>6770.63</v>
      </c>
      <c r="D16" s="228">
        <v>6770.63</v>
      </c>
      <c r="E16" s="1232">
        <v>41054</v>
      </c>
      <c r="F16" s="228">
        <f t="shared" si="0"/>
        <v>0</v>
      </c>
    </row>
    <row r="17" spans="1:6" ht="12.75">
      <c r="A17" t="s">
        <v>1695</v>
      </c>
      <c r="B17" t="s">
        <v>1696</v>
      </c>
      <c r="C17" s="228">
        <v>120091.92000000001</v>
      </c>
      <c r="D17" s="228"/>
      <c r="E17" s="1232"/>
      <c r="F17" s="228">
        <f t="shared" si="0"/>
        <v>120091.92000000001</v>
      </c>
    </row>
    <row r="18" spans="1:6" ht="12.75">
      <c r="A18" t="s">
        <v>1697</v>
      </c>
      <c r="B18" t="s">
        <v>1698</v>
      </c>
      <c r="C18" s="228">
        <v>16317.66</v>
      </c>
      <c r="D18" s="228">
        <v>16317.66</v>
      </c>
      <c r="E18" s="1232">
        <v>41050</v>
      </c>
      <c r="F18" s="228">
        <f t="shared" si="0"/>
        <v>0</v>
      </c>
    </row>
    <row r="19" spans="1:6" ht="12.75">
      <c r="A19" t="s">
        <v>1699</v>
      </c>
      <c r="B19" t="s">
        <v>1359</v>
      </c>
      <c r="C19" s="228">
        <v>24116.82</v>
      </c>
      <c r="D19" s="228"/>
      <c r="E19" s="1232"/>
      <c r="F19" s="228">
        <f t="shared" si="0"/>
        <v>24116.82</v>
      </c>
    </row>
    <row r="20" spans="1:6" ht="12.75">
      <c r="A20" t="s">
        <v>1700</v>
      </c>
      <c r="B20" t="s">
        <v>1361</v>
      </c>
      <c r="C20" s="228">
        <v>19889.120000000003</v>
      </c>
      <c r="D20" s="228"/>
      <c r="E20" s="1232"/>
      <c r="F20" s="228">
        <f t="shared" si="0"/>
        <v>19889.120000000003</v>
      </c>
    </row>
    <row r="21" spans="1:6" ht="12.75">
      <c r="A21" t="s">
        <v>1701</v>
      </c>
      <c r="B21" t="s">
        <v>1363</v>
      </c>
      <c r="C21" s="228">
        <v>16721.5</v>
      </c>
      <c r="D21" s="228"/>
      <c r="E21" s="1232"/>
      <c r="F21" s="228">
        <f t="shared" si="0"/>
        <v>16721.5</v>
      </c>
    </row>
    <row r="22" spans="1:6" ht="12.75">
      <c r="A22" t="s">
        <v>1702</v>
      </c>
      <c r="B22" t="s">
        <v>1365</v>
      </c>
      <c r="C22" s="228">
        <v>7426.870000000001</v>
      </c>
      <c r="D22" s="228"/>
      <c r="E22" s="1232"/>
      <c r="F22" s="228">
        <f t="shared" si="0"/>
        <v>7426.870000000001</v>
      </c>
    </row>
    <row r="23" spans="1:6" ht="12.75">
      <c r="A23" t="s">
        <v>1703</v>
      </c>
      <c r="B23" t="s">
        <v>1367</v>
      </c>
      <c r="C23" s="228">
        <v>13326.72</v>
      </c>
      <c r="D23" s="228"/>
      <c r="E23" s="1232"/>
      <c r="F23" s="228">
        <f t="shared" si="0"/>
        <v>13326.72</v>
      </c>
    </row>
    <row r="24" spans="1:6" ht="12.75">
      <c r="A24" t="s">
        <v>1704</v>
      </c>
      <c r="B24" t="s">
        <v>1369</v>
      </c>
      <c r="C24" s="228">
        <v>17030.69</v>
      </c>
      <c r="D24" s="228">
        <v>17030.69</v>
      </c>
      <c r="E24" s="1232">
        <v>41043</v>
      </c>
      <c r="F24" s="228">
        <f t="shared" si="0"/>
        <v>0</v>
      </c>
    </row>
    <row r="25" spans="1:6" ht="12.75">
      <c r="A25" t="s">
        <v>1705</v>
      </c>
      <c r="B25" t="s">
        <v>1371</v>
      </c>
      <c r="C25" s="228">
        <v>78856.06999999999</v>
      </c>
      <c r="D25" s="228"/>
      <c r="E25" s="1232"/>
      <c r="F25" s="228">
        <f t="shared" si="0"/>
        <v>78856.06999999999</v>
      </c>
    </row>
    <row r="26" spans="1:6" ht="12.75">
      <c r="A26" t="s">
        <v>1706</v>
      </c>
      <c r="B26" t="s">
        <v>1373</v>
      </c>
      <c r="C26" s="228">
        <v>2839.5</v>
      </c>
      <c r="D26" s="228"/>
      <c r="E26" s="1232"/>
      <c r="F26" s="228">
        <f t="shared" si="0"/>
        <v>2839.5</v>
      </c>
    </row>
    <row r="27" spans="1:6" ht="12.75">
      <c r="A27" t="s">
        <v>1707</v>
      </c>
      <c r="B27" t="s">
        <v>1375</v>
      </c>
      <c r="C27" s="228">
        <v>13118.49</v>
      </c>
      <c r="D27" s="228"/>
      <c r="E27" s="1232"/>
      <c r="F27" s="228">
        <f t="shared" si="0"/>
        <v>13118.49</v>
      </c>
    </row>
    <row r="28" spans="1:6" ht="12.75">
      <c r="A28" t="s">
        <v>1708</v>
      </c>
      <c r="B28" t="s">
        <v>1377</v>
      </c>
      <c r="C28" s="228">
        <v>12380.22</v>
      </c>
      <c r="D28" s="228">
        <v>12380.22</v>
      </c>
      <c r="E28" s="1232">
        <v>41054</v>
      </c>
      <c r="F28" s="228">
        <f t="shared" si="0"/>
        <v>0</v>
      </c>
    </row>
    <row r="29" spans="1:6" ht="12.75">
      <c r="A29" t="s">
        <v>1709</v>
      </c>
      <c r="B29" t="s">
        <v>1379</v>
      </c>
      <c r="C29" s="228">
        <v>19491.59</v>
      </c>
      <c r="D29" s="228"/>
      <c r="E29" s="1232"/>
      <c r="F29" s="228">
        <f t="shared" si="0"/>
        <v>19491.59</v>
      </c>
    </row>
    <row r="30" spans="1:6" ht="12.75">
      <c r="A30" t="s">
        <v>1710</v>
      </c>
      <c r="B30" t="s">
        <v>1381</v>
      </c>
      <c r="C30" s="228">
        <v>30319.55</v>
      </c>
      <c r="D30" s="228"/>
      <c r="E30" s="1232"/>
      <c r="F30" s="228">
        <f t="shared" si="0"/>
        <v>30319.55</v>
      </c>
    </row>
    <row r="31" spans="1:6" ht="12.75">
      <c r="A31" t="s">
        <v>1711</v>
      </c>
      <c r="B31" t="s">
        <v>1383</v>
      </c>
      <c r="C31" s="228">
        <v>6827.42</v>
      </c>
      <c r="D31" s="228"/>
      <c r="E31" s="1232"/>
      <c r="F31" s="228">
        <f t="shared" si="0"/>
        <v>6827.42</v>
      </c>
    </row>
    <row r="32" spans="1:6" ht="12.75">
      <c r="A32" t="s">
        <v>1712</v>
      </c>
      <c r="B32" t="s">
        <v>1385</v>
      </c>
      <c r="C32" s="228">
        <v>4890.25</v>
      </c>
      <c r="D32" s="228">
        <v>4890.25</v>
      </c>
      <c r="E32" s="1232">
        <v>41050</v>
      </c>
      <c r="F32" s="228">
        <f t="shared" si="0"/>
        <v>0</v>
      </c>
    </row>
    <row r="33" spans="1:6" ht="12.75">
      <c r="A33" t="s">
        <v>1713</v>
      </c>
      <c r="B33" t="s">
        <v>1387</v>
      </c>
      <c r="C33" s="228">
        <v>12045.789999999999</v>
      </c>
      <c r="D33" s="228"/>
      <c r="E33" s="1232"/>
      <c r="F33" s="228">
        <f t="shared" si="0"/>
        <v>12045.789999999999</v>
      </c>
    </row>
    <row r="34" spans="1:6" ht="12.75">
      <c r="A34" t="s">
        <v>1714</v>
      </c>
      <c r="B34" t="s">
        <v>1390</v>
      </c>
      <c r="C34" s="228">
        <v>29373.05</v>
      </c>
      <c r="D34" s="228"/>
      <c r="E34" s="1232"/>
      <c r="F34" s="228">
        <f t="shared" si="0"/>
        <v>29373.05</v>
      </c>
    </row>
    <row r="35" spans="1:6" ht="12.75">
      <c r="A35" t="s">
        <v>1715</v>
      </c>
      <c r="B35" t="s">
        <v>1392</v>
      </c>
      <c r="C35" s="228">
        <v>14380.490000000002</v>
      </c>
      <c r="D35" s="228"/>
      <c r="E35" s="1232"/>
      <c r="F35" s="228">
        <f t="shared" si="0"/>
        <v>14380.490000000002</v>
      </c>
    </row>
    <row r="36" spans="1:6" ht="12.75">
      <c r="A36" t="s">
        <v>1716</v>
      </c>
      <c r="B36" t="s">
        <v>1394</v>
      </c>
      <c r="C36" s="228">
        <v>4700.95</v>
      </c>
      <c r="D36" s="228"/>
      <c r="E36" s="1232"/>
      <c r="F36" s="228">
        <f t="shared" si="0"/>
        <v>4700.95</v>
      </c>
    </row>
    <row r="37" spans="1:6" ht="12.75">
      <c r="A37" t="s">
        <v>1717</v>
      </c>
      <c r="B37" t="s">
        <v>1396</v>
      </c>
      <c r="C37" s="228">
        <v>55603.72</v>
      </c>
      <c r="D37" s="228"/>
      <c r="E37" s="1232"/>
      <c r="F37" s="228">
        <f t="shared" si="0"/>
        <v>55603.72</v>
      </c>
    </row>
    <row r="38" spans="1:6" ht="12.75">
      <c r="A38" t="s">
        <v>1718</v>
      </c>
      <c r="B38" t="s">
        <v>1719</v>
      </c>
      <c r="C38" s="228">
        <v>34162.340000000004</v>
      </c>
      <c r="D38" s="228">
        <v>34162.34</v>
      </c>
      <c r="E38" s="1232">
        <v>41050</v>
      </c>
      <c r="F38" s="228">
        <f t="shared" si="0"/>
        <v>0</v>
      </c>
    </row>
    <row r="39" spans="1:6" ht="12.75">
      <c r="A39" t="s">
        <v>1720</v>
      </c>
      <c r="B39" t="s">
        <v>1400</v>
      </c>
      <c r="C39" s="228">
        <v>21510.789999999997</v>
      </c>
      <c r="D39" s="228"/>
      <c r="E39" s="1232"/>
      <c r="F39" s="228">
        <f t="shared" si="0"/>
        <v>21510.789999999997</v>
      </c>
    </row>
    <row r="40" spans="1:6" ht="12.75">
      <c r="A40" t="s">
        <v>1721</v>
      </c>
      <c r="B40" t="s">
        <v>1402</v>
      </c>
      <c r="C40" s="228">
        <v>10733.310000000001</v>
      </c>
      <c r="D40" s="228"/>
      <c r="E40" s="1232"/>
      <c r="F40" s="228">
        <f t="shared" si="0"/>
        <v>10733.310000000001</v>
      </c>
    </row>
    <row r="41" spans="1:6" ht="12.75">
      <c r="A41" t="s">
        <v>1722</v>
      </c>
      <c r="B41" t="s">
        <v>1404</v>
      </c>
      <c r="C41" s="228">
        <v>2120.16</v>
      </c>
      <c r="D41" s="228"/>
      <c r="E41" s="1232"/>
      <c r="F41" s="228">
        <f t="shared" si="0"/>
        <v>2120.16</v>
      </c>
    </row>
    <row r="42" spans="1:6" ht="12.75">
      <c r="A42" t="s">
        <v>1723</v>
      </c>
      <c r="B42" t="s">
        <v>1406</v>
      </c>
      <c r="C42" s="228">
        <v>17289.4</v>
      </c>
      <c r="D42" s="228"/>
      <c r="E42" s="1232"/>
      <c r="F42" s="228">
        <f t="shared" si="0"/>
        <v>17289.4</v>
      </c>
    </row>
    <row r="43" spans="1:6" ht="12.75">
      <c r="A43" t="s">
        <v>1724</v>
      </c>
      <c r="B43" t="s">
        <v>1725</v>
      </c>
      <c r="C43" s="228">
        <v>22785.41</v>
      </c>
      <c r="D43" s="228"/>
      <c r="E43" s="1232"/>
      <c r="F43" s="228">
        <f t="shared" si="0"/>
        <v>22785.41</v>
      </c>
    </row>
    <row r="44" spans="1:6" ht="12.75">
      <c r="A44" t="s">
        <v>1726</v>
      </c>
      <c r="B44" t="s">
        <v>1410</v>
      </c>
      <c r="C44" s="228">
        <v>7931.67</v>
      </c>
      <c r="D44" s="228"/>
      <c r="E44" s="1232"/>
      <c r="F44" s="228">
        <f t="shared" si="0"/>
        <v>7931.67</v>
      </c>
    </row>
    <row r="45" spans="1:6" ht="12.75">
      <c r="A45" t="s">
        <v>1727</v>
      </c>
      <c r="B45" t="s">
        <v>1412</v>
      </c>
      <c r="C45" s="228">
        <v>6398.34</v>
      </c>
      <c r="D45" s="228">
        <v>6398.34</v>
      </c>
      <c r="E45" s="1232">
        <v>41043</v>
      </c>
      <c r="F45" s="228">
        <v>0</v>
      </c>
    </row>
    <row r="46" spans="1:6" ht="12.75">
      <c r="A46" t="s">
        <v>1728</v>
      </c>
      <c r="B46" t="s">
        <v>1414</v>
      </c>
      <c r="C46" s="228">
        <v>11048.810000000001</v>
      </c>
      <c r="D46" s="228"/>
      <c r="E46" s="1232"/>
      <c r="F46" s="228">
        <f t="shared" si="0"/>
        <v>11048.810000000001</v>
      </c>
    </row>
    <row r="47" spans="1:6" ht="12.75">
      <c r="A47" t="s">
        <v>1729</v>
      </c>
      <c r="B47" t="s">
        <v>1416</v>
      </c>
      <c r="C47" s="228">
        <v>67769.4</v>
      </c>
      <c r="D47" s="228"/>
      <c r="E47" s="1232"/>
      <c r="F47" s="228">
        <f t="shared" si="0"/>
        <v>67769.4</v>
      </c>
    </row>
    <row r="48" spans="1:6" ht="12.75">
      <c r="A48" t="s">
        <v>1730</v>
      </c>
      <c r="B48" t="s">
        <v>1418</v>
      </c>
      <c r="C48" s="228">
        <v>4284.49</v>
      </c>
      <c r="D48" s="228"/>
      <c r="E48" s="1232"/>
      <c r="F48" s="228">
        <f t="shared" si="0"/>
        <v>4284.49</v>
      </c>
    </row>
    <row r="49" spans="1:6" ht="12.75">
      <c r="A49" t="s">
        <v>1731</v>
      </c>
      <c r="B49" t="s">
        <v>1420</v>
      </c>
      <c r="C49" s="228">
        <v>5477.08</v>
      </c>
      <c r="D49" s="228"/>
      <c r="E49" s="1232"/>
      <c r="F49" s="228">
        <f t="shared" si="0"/>
        <v>5477.08</v>
      </c>
    </row>
    <row r="50" spans="1:6" ht="12.75">
      <c r="A50" t="s">
        <v>1732</v>
      </c>
      <c r="B50" t="s">
        <v>1422</v>
      </c>
      <c r="C50" s="228">
        <v>3129.7599999999998</v>
      </c>
      <c r="D50" s="228"/>
      <c r="E50" s="1232"/>
      <c r="F50" s="228">
        <f t="shared" si="0"/>
        <v>3129.7599999999998</v>
      </c>
    </row>
    <row r="51" spans="1:6" ht="12.75">
      <c r="A51" t="s">
        <v>1733</v>
      </c>
      <c r="B51" t="s">
        <v>1424</v>
      </c>
      <c r="C51" s="228">
        <v>12468.560000000001</v>
      </c>
      <c r="D51" s="228"/>
      <c r="E51" s="1232"/>
      <c r="F51" s="228">
        <f t="shared" si="0"/>
        <v>12468.560000000001</v>
      </c>
    </row>
    <row r="52" spans="1:6" ht="12.75">
      <c r="A52" t="s">
        <v>1734</v>
      </c>
      <c r="B52" t="s">
        <v>1426</v>
      </c>
      <c r="C52" s="228">
        <v>14942.08</v>
      </c>
      <c r="D52" s="228"/>
      <c r="E52" s="1232"/>
      <c r="F52" s="228">
        <f t="shared" si="0"/>
        <v>14942.08</v>
      </c>
    </row>
    <row r="53" spans="1:6" ht="12.75">
      <c r="A53" t="s">
        <v>1735</v>
      </c>
      <c r="B53" t="s">
        <v>1428</v>
      </c>
      <c r="C53" s="228">
        <v>6941</v>
      </c>
      <c r="D53" s="228"/>
      <c r="E53" s="1232"/>
      <c r="F53" s="228">
        <f t="shared" si="0"/>
        <v>6941</v>
      </c>
    </row>
    <row r="54" spans="1:6" ht="12.75">
      <c r="A54" t="s">
        <v>1736</v>
      </c>
      <c r="B54" t="s">
        <v>1430</v>
      </c>
      <c r="C54" s="228">
        <v>3893.27</v>
      </c>
      <c r="D54" s="228">
        <v>3893.27</v>
      </c>
      <c r="E54" s="1232">
        <v>41050</v>
      </c>
      <c r="F54" s="228">
        <f t="shared" si="0"/>
        <v>0</v>
      </c>
    </row>
    <row r="55" spans="1:6" ht="12.75">
      <c r="A55" t="s">
        <v>1737</v>
      </c>
      <c r="B55" t="s">
        <v>1432</v>
      </c>
      <c r="C55" s="228">
        <v>14033.439999999999</v>
      </c>
      <c r="D55" s="228"/>
      <c r="E55" s="1232"/>
      <c r="F55" s="228">
        <f t="shared" si="0"/>
        <v>14033.439999999999</v>
      </c>
    </row>
    <row r="56" spans="1:6" ht="12.75">
      <c r="A56" t="s">
        <v>1738</v>
      </c>
      <c r="B56" t="s">
        <v>1434</v>
      </c>
      <c r="C56" s="228">
        <v>15453.189999999999</v>
      </c>
      <c r="D56" s="228"/>
      <c r="E56" s="1232"/>
      <c r="F56" s="228">
        <f t="shared" si="0"/>
        <v>15453.189999999999</v>
      </c>
    </row>
    <row r="57" spans="1:6" ht="12.75">
      <c r="A57" t="s">
        <v>1739</v>
      </c>
      <c r="B57" t="s">
        <v>1436</v>
      </c>
      <c r="C57" s="228">
        <v>5218.37</v>
      </c>
      <c r="D57" s="228"/>
      <c r="E57" s="1232"/>
      <c r="F57" s="228">
        <f t="shared" si="0"/>
        <v>5218.37</v>
      </c>
    </row>
    <row r="58" spans="1:6" ht="12.75">
      <c r="A58" t="s">
        <v>1740</v>
      </c>
      <c r="B58" t="s">
        <v>1438</v>
      </c>
      <c r="C58" s="228">
        <v>232176.45</v>
      </c>
      <c r="D58" s="228"/>
      <c r="E58" s="1232"/>
      <c r="F58" s="228">
        <f t="shared" si="0"/>
        <v>232176.45</v>
      </c>
    </row>
    <row r="59" spans="1:6" ht="12.75">
      <c r="A59" t="s">
        <v>1741</v>
      </c>
      <c r="B59" t="s">
        <v>1440</v>
      </c>
      <c r="C59" s="228">
        <v>14576.1</v>
      </c>
      <c r="D59" s="228"/>
      <c r="E59" s="1232"/>
      <c r="F59" s="228">
        <f t="shared" si="0"/>
        <v>14576.1</v>
      </c>
    </row>
    <row r="60" spans="1:6" ht="12.75">
      <c r="A60" t="s">
        <v>1742</v>
      </c>
      <c r="B60" t="s">
        <v>1442</v>
      </c>
      <c r="C60" s="228">
        <v>38225.979999999996</v>
      </c>
      <c r="D60" s="228"/>
      <c r="E60" s="1232"/>
      <c r="F60" s="228">
        <f t="shared" si="0"/>
        <v>38225.979999999996</v>
      </c>
    </row>
    <row r="61" spans="1:6" ht="12.75">
      <c r="A61" t="s">
        <v>1743</v>
      </c>
      <c r="B61" t="s">
        <v>1444</v>
      </c>
      <c r="C61" s="228">
        <v>4618.92</v>
      </c>
      <c r="D61" s="228"/>
      <c r="E61" s="1232"/>
      <c r="F61" s="228">
        <f t="shared" si="0"/>
        <v>4618.92</v>
      </c>
    </row>
    <row r="62" spans="1:6" ht="12.75">
      <c r="A62" t="s">
        <v>1744</v>
      </c>
      <c r="B62" t="s">
        <v>1446</v>
      </c>
      <c r="C62" s="228">
        <v>37569.74</v>
      </c>
      <c r="D62" s="228"/>
      <c r="E62" s="1232"/>
      <c r="F62" s="228">
        <f t="shared" si="0"/>
        <v>37569.74</v>
      </c>
    </row>
    <row r="63" spans="1:6" ht="12.75">
      <c r="A63" t="s">
        <v>1745</v>
      </c>
      <c r="B63" t="s">
        <v>1448</v>
      </c>
      <c r="C63" s="228">
        <v>16614.23</v>
      </c>
      <c r="D63" s="228"/>
      <c r="E63" s="1232"/>
      <c r="F63" s="228">
        <f t="shared" si="0"/>
        <v>16614.23</v>
      </c>
    </row>
    <row r="64" spans="1:6" ht="12.75">
      <c r="A64" t="s">
        <v>1746</v>
      </c>
      <c r="B64" t="s">
        <v>1450</v>
      </c>
      <c r="C64" s="228">
        <v>3281.2</v>
      </c>
      <c r="D64" s="228">
        <v>3281.2</v>
      </c>
      <c r="E64" s="1232">
        <v>41053</v>
      </c>
      <c r="F64" s="228">
        <f t="shared" si="0"/>
        <v>0</v>
      </c>
    </row>
    <row r="65" spans="1:6" ht="12.75">
      <c r="A65" t="s">
        <v>1747</v>
      </c>
      <c r="B65" t="s">
        <v>1452</v>
      </c>
      <c r="C65" s="228">
        <v>2385.18</v>
      </c>
      <c r="D65" s="228"/>
      <c r="E65" s="1232"/>
      <c r="F65" s="228">
        <f t="shared" si="0"/>
        <v>2385.18</v>
      </c>
    </row>
    <row r="66" spans="1:6" ht="12.75">
      <c r="A66" t="s">
        <v>1748</v>
      </c>
      <c r="B66" t="s">
        <v>1454</v>
      </c>
      <c r="C66" s="228">
        <v>9988.730000000001</v>
      </c>
      <c r="D66" s="228"/>
      <c r="E66" s="1232"/>
      <c r="F66" s="228">
        <f t="shared" si="0"/>
        <v>9988.730000000001</v>
      </c>
    </row>
    <row r="67" spans="1:6" ht="12.75">
      <c r="A67" t="s">
        <v>1749</v>
      </c>
      <c r="B67" t="s">
        <v>1456</v>
      </c>
      <c r="C67" s="228">
        <v>15535.22</v>
      </c>
      <c r="D67" s="228"/>
      <c r="E67" s="1232"/>
      <c r="F67" s="228">
        <f aca="true" t="shared" si="1" ref="F67:F130">C67-D67</f>
        <v>15535.22</v>
      </c>
    </row>
    <row r="68" spans="1:6" ht="12.75">
      <c r="A68" t="s">
        <v>1750</v>
      </c>
      <c r="B68" t="s">
        <v>1458</v>
      </c>
      <c r="C68" s="228">
        <v>11843.869999999999</v>
      </c>
      <c r="D68" s="228"/>
      <c r="E68" s="1232"/>
      <c r="F68" s="228">
        <f t="shared" si="1"/>
        <v>11843.869999999999</v>
      </c>
    </row>
    <row r="69" spans="1:6" ht="12.75">
      <c r="A69" t="s">
        <v>1751</v>
      </c>
      <c r="B69" t="s">
        <v>1460</v>
      </c>
      <c r="C69" s="228">
        <v>23807.629999999997</v>
      </c>
      <c r="D69" s="228"/>
      <c r="E69" s="1232"/>
      <c r="F69" s="228">
        <f t="shared" si="1"/>
        <v>23807.629999999997</v>
      </c>
    </row>
    <row r="70" spans="1:6" ht="12.75">
      <c r="A70" t="s">
        <v>1752</v>
      </c>
      <c r="B70" t="s">
        <v>1462</v>
      </c>
      <c r="C70" s="228">
        <v>28546.44</v>
      </c>
      <c r="D70" s="228"/>
      <c r="E70" s="1232"/>
      <c r="F70" s="228">
        <f t="shared" si="1"/>
        <v>28546.44</v>
      </c>
    </row>
    <row r="71" spans="1:6" ht="12.75">
      <c r="A71" t="s">
        <v>1753</v>
      </c>
      <c r="B71" t="s">
        <v>1464</v>
      </c>
      <c r="C71" s="228">
        <v>26470.45</v>
      </c>
      <c r="D71" s="228"/>
      <c r="E71" s="1232"/>
      <c r="F71" s="228">
        <f t="shared" si="1"/>
        <v>26470.45</v>
      </c>
    </row>
    <row r="72" spans="1:6" ht="12.75">
      <c r="A72" t="s">
        <v>1754</v>
      </c>
      <c r="B72" t="s">
        <v>1466</v>
      </c>
      <c r="C72" s="228">
        <v>10569.25</v>
      </c>
      <c r="D72" s="228"/>
      <c r="E72" s="1232"/>
      <c r="F72" s="228">
        <f t="shared" si="1"/>
        <v>10569.25</v>
      </c>
    </row>
    <row r="73" spans="1:6" ht="12.75">
      <c r="A73" t="s">
        <v>1755</v>
      </c>
      <c r="B73" t="s">
        <v>1756</v>
      </c>
      <c r="C73" s="228">
        <v>18576.64</v>
      </c>
      <c r="D73" s="228">
        <v>18576.64</v>
      </c>
      <c r="E73" s="1232">
        <v>41050</v>
      </c>
      <c r="F73" s="228">
        <f t="shared" si="1"/>
        <v>0</v>
      </c>
    </row>
    <row r="74" spans="1:6" ht="12.75">
      <c r="A74" t="s">
        <v>1757</v>
      </c>
      <c r="B74" t="s">
        <v>1470</v>
      </c>
      <c r="C74" s="228">
        <v>10379.95</v>
      </c>
      <c r="D74" s="228"/>
      <c r="E74" s="1232"/>
      <c r="F74" s="228">
        <f t="shared" si="1"/>
        <v>10379.95</v>
      </c>
    </row>
    <row r="75" spans="1:6" ht="12.75">
      <c r="A75" t="s">
        <v>1758</v>
      </c>
      <c r="B75" t="s">
        <v>1472</v>
      </c>
      <c r="C75" s="228">
        <v>89040.40999999999</v>
      </c>
      <c r="D75" s="228"/>
      <c r="E75" s="1232"/>
      <c r="F75" s="228">
        <f t="shared" si="1"/>
        <v>89040.40999999999</v>
      </c>
    </row>
    <row r="76" spans="1:6" ht="12.75">
      <c r="A76" t="s">
        <v>1759</v>
      </c>
      <c r="B76" t="s">
        <v>1474</v>
      </c>
      <c r="C76" s="228">
        <v>25542.879999999997</v>
      </c>
      <c r="D76" s="228"/>
      <c r="E76" s="1232"/>
      <c r="F76" s="228">
        <f t="shared" si="1"/>
        <v>25542.879999999997</v>
      </c>
    </row>
    <row r="77" spans="1:6" ht="12.75">
      <c r="A77" t="s">
        <v>1760</v>
      </c>
      <c r="B77" t="s">
        <v>1476</v>
      </c>
      <c r="C77" s="228">
        <v>5073.240000000001</v>
      </c>
      <c r="D77" s="228"/>
      <c r="E77" s="1232"/>
      <c r="F77" s="228">
        <f t="shared" si="1"/>
        <v>5073.240000000001</v>
      </c>
    </row>
    <row r="78" spans="1:6" ht="12.75">
      <c r="A78" t="s">
        <v>1761</v>
      </c>
      <c r="B78" t="s">
        <v>1478</v>
      </c>
      <c r="C78" s="228">
        <v>19213.95</v>
      </c>
      <c r="D78" s="228"/>
      <c r="E78" s="1232"/>
      <c r="F78" s="228">
        <f t="shared" si="1"/>
        <v>19213.95</v>
      </c>
    </row>
    <row r="79" spans="1:6" ht="12.75">
      <c r="A79" t="s">
        <v>1762</v>
      </c>
      <c r="B79" t="s">
        <v>1480</v>
      </c>
      <c r="C79" s="228">
        <v>14348.939999999999</v>
      </c>
      <c r="D79" s="228"/>
      <c r="E79" s="1232"/>
      <c r="F79" s="228">
        <f t="shared" si="1"/>
        <v>14348.939999999999</v>
      </c>
    </row>
    <row r="80" spans="1:6" ht="12.75">
      <c r="A80" t="s">
        <v>1763</v>
      </c>
      <c r="B80" t="s">
        <v>1482</v>
      </c>
      <c r="C80" s="228">
        <v>5811.509999999999</v>
      </c>
      <c r="D80" s="228"/>
      <c r="E80" s="1232"/>
      <c r="F80" s="228">
        <f t="shared" si="1"/>
        <v>5811.509999999999</v>
      </c>
    </row>
    <row r="81" spans="1:6" ht="12.75">
      <c r="A81" t="s">
        <v>1764</v>
      </c>
      <c r="B81" t="s">
        <v>1484</v>
      </c>
      <c r="C81" s="228">
        <v>43311.840000000004</v>
      </c>
      <c r="D81" s="228">
        <v>43311.84</v>
      </c>
      <c r="E81" s="1232">
        <v>41054</v>
      </c>
      <c r="F81" s="228">
        <v>0</v>
      </c>
    </row>
    <row r="82" spans="1:6" ht="12.75">
      <c r="A82" t="s">
        <v>1765</v>
      </c>
      <c r="B82" t="s">
        <v>1486</v>
      </c>
      <c r="C82" s="228">
        <v>13736.869999999999</v>
      </c>
      <c r="D82" s="228">
        <v>13736.87</v>
      </c>
      <c r="E82" s="1232">
        <v>41054</v>
      </c>
      <c r="F82" s="228">
        <f t="shared" si="1"/>
        <v>0</v>
      </c>
    </row>
    <row r="83" spans="1:6" ht="12.75">
      <c r="A83" t="s">
        <v>1766</v>
      </c>
      <c r="B83" t="s">
        <v>1488</v>
      </c>
      <c r="C83" s="228">
        <v>4738.81</v>
      </c>
      <c r="D83" s="228">
        <v>4738.81</v>
      </c>
      <c r="E83" s="1232">
        <v>41050</v>
      </c>
      <c r="F83" s="228">
        <f t="shared" si="1"/>
        <v>0</v>
      </c>
    </row>
    <row r="84" spans="1:6" ht="12.75">
      <c r="A84" t="s">
        <v>1767</v>
      </c>
      <c r="B84" t="s">
        <v>1490</v>
      </c>
      <c r="C84" s="228">
        <v>42983.72</v>
      </c>
      <c r="D84" s="228"/>
      <c r="E84" s="1232"/>
      <c r="F84" s="228">
        <f t="shared" si="1"/>
        <v>42983.72</v>
      </c>
    </row>
    <row r="85" spans="1:6" ht="12.75">
      <c r="A85" t="s">
        <v>1768</v>
      </c>
      <c r="B85" t="s">
        <v>1492</v>
      </c>
      <c r="C85" s="228">
        <v>13616.980000000001</v>
      </c>
      <c r="D85" s="228"/>
      <c r="E85" s="1232"/>
      <c r="F85" s="228">
        <f t="shared" si="1"/>
        <v>13616.980000000001</v>
      </c>
    </row>
    <row r="86" spans="1:6" ht="12.75">
      <c r="A86" t="s">
        <v>1769</v>
      </c>
      <c r="B86" t="s">
        <v>1494</v>
      </c>
      <c r="C86" s="228">
        <v>2492.45</v>
      </c>
      <c r="D86" s="228"/>
      <c r="E86" s="1232"/>
      <c r="F86" s="228">
        <f t="shared" si="1"/>
        <v>2492.45</v>
      </c>
    </row>
    <row r="87" spans="1:6" ht="12.75">
      <c r="A87" t="s">
        <v>1770</v>
      </c>
      <c r="B87" t="s">
        <v>1771</v>
      </c>
      <c r="C87" s="228">
        <v>591026.15</v>
      </c>
      <c r="D87" s="228"/>
      <c r="E87" s="1232"/>
      <c r="F87" s="228">
        <f t="shared" si="1"/>
        <v>591026.15</v>
      </c>
    </row>
    <row r="88" spans="1:6" ht="12.75">
      <c r="A88" t="s">
        <v>1772</v>
      </c>
      <c r="B88" t="s">
        <v>1498</v>
      </c>
      <c r="C88" s="228">
        <v>3489.43</v>
      </c>
      <c r="D88" s="228"/>
      <c r="E88" s="1232"/>
      <c r="F88" s="228">
        <f t="shared" si="1"/>
        <v>3489.43</v>
      </c>
    </row>
    <row r="89" spans="1:6" ht="12.75">
      <c r="A89" t="s">
        <v>1773</v>
      </c>
      <c r="B89" t="s">
        <v>1500</v>
      </c>
      <c r="C89" s="228">
        <v>47211.420000000006</v>
      </c>
      <c r="D89" s="228"/>
      <c r="E89" s="1232"/>
      <c r="F89" s="228">
        <f t="shared" si="1"/>
        <v>47211.420000000006</v>
      </c>
    </row>
    <row r="90" spans="1:6" ht="12.75">
      <c r="A90" t="s">
        <v>1774</v>
      </c>
      <c r="B90" t="s">
        <v>1502</v>
      </c>
      <c r="C90" s="228">
        <v>23561.539999999997</v>
      </c>
      <c r="D90" s="228"/>
      <c r="E90" s="1232"/>
      <c r="F90" s="228">
        <f t="shared" si="1"/>
        <v>23561.539999999997</v>
      </c>
    </row>
    <row r="91" spans="1:6" ht="12.75">
      <c r="A91" t="s">
        <v>1775</v>
      </c>
      <c r="B91" t="s">
        <v>1504</v>
      </c>
      <c r="C91" s="228">
        <v>88699.67</v>
      </c>
      <c r="D91" s="228"/>
      <c r="E91" s="1232"/>
      <c r="F91" s="228">
        <f t="shared" si="1"/>
        <v>88699.67</v>
      </c>
    </row>
    <row r="92" spans="1:6" ht="12.75">
      <c r="A92" t="s">
        <v>1776</v>
      </c>
      <c r="B92" t="s">
        <v>1506</v>
      </c>
      <c r="C92" s="228">
        <v>1552828.4100000001</v>
      </c>
      <c r="D92" s="228"/>
      <c r="E92" s="1232"/>
      <c r="F92" s="228">
        <f t="shared" si="1"/>
        <v>1552828.4100000001</v>
      </c>
    </row>
    <row r="93" spans="1:6" ht="12.75">
      <c r="A93" t="s">
        <v>1777</v>
      </c>
      <c r="B93" t="s">
        <v>1508</v>
      </c>
      <c r="C93" s="228">
        <v>15251.269999999999</v>
      </c>
      <c r="D93" s="228"/>
      <c r="E93" s="1232"/>
      <c r="F93" s="228">
        <f t="shared" si="1"/>
        <v>15251.269999999999</v>
      </c>
    </row>
    <row r="94" spans="1:6" ht="12.75">
      <c r="A94" t="s">
        <v>1778</v>
      </c>
      <c r="B94" t="s">
        <v>1510</v>
      </c>
      <c r="C94" s="228">
        <v>28420.239999999998</v>
      </c>
      <c r="D94" s="228"/>
      <c r="E94" s="1232"/>
      <c r="F94" s="228">
        <f t="shared" si="1"/>
        <v>28420.239999999998</v>
      </c>
    </row>
    <row r="95" spans="1:6" ht="12.75">
      <c r="A95" t="s">
        <v>1779</v>
      </c>
      <c r="B95" t="s">
        <v>1512</v>
      </c>
      <c r="C95" s="228">
        <v>15118.759999999998</v>
      </c>
      <c r="D95" s="228"/>
      <c r="E95" s="1232"/>
      <c r="F95" s="228">
        <f t="shared" si="1"/>
        <v>15118.759999999998</v>
      </c>
    </row>
    <row r="96" spans="1:6" ht="12.75">
      <c r="A96" t="s">
        <v>1780</v>
      </c>
      <c r="B96" t="s">
        <v>1514</v>
      </c>
      <c r="C96" s="228">
        <v>58436.91</v>
      </c>
      <c r="D96" s="228"/>
      <c r="E96" s="1232"/>
      <c r="F96" s="228">
        <f t="shared" si="1"/>
        <v>58436.91</v>
      </c>
    </row>
    <row r="97" spans="1:6" ht="12.75">
      <c r="A97" t="s">
        <v>1781</v>
      </c>
      <c r="B97" t="s">
        <v>1516</v>
      </c>
      <c r="C97" s="228">
        <v>15099.83</v>
      </c>
      <c r="D97" s="228"/>
      <c r="E97" s="1232"/>
      <c r="F97" s="228">
        <f t="shared" si="1"/>
        <v>15099.83</v>
      </c>
    </row>
    <row r="98" spans="1:6" ht="12.75">
      <c r="A98" t="s">
        <v>1782</v>
      </c>
      <c r="B98" t="s">
        <v>1518</v>
      </c>
      <c r="C98" s="228">
        <v>7092.4400000000005</v>
      </c>
      <c r="D98" s="228"/>
      <c r="E98" s="1232"/>
      <c r="F98" s="228">
        <f t="shared" si="1"/>
        <v>7092.4400000000005</v>
      </c>
    </row>
    <row r="99" spans="1:6" ht="12.75">
      <c r="A99" t="s">
        <v>1783</v>
      </c>
      <c r="B99" t="s">
        <v>1520</v>
      </c>
      <c r="C99" s="228">
        <v>11086.67</v>
      </c>
      <c r="D99" s="228"/>
      <c r="E99" s="1232"/>
      <c r="F99" s="228">
        <f t="shared" si="1"/>
        <v>11086.67</v>
      </c>
    </row>
    <row r="100" spans="1:6" ht="12.75">
      <c r="A100" t="s">
        <v>1784</v>
      </c>
      <c r="B100" t="s">
        <v>1522</v>
      </c>
      <c r="C100" s="228">
        <v>20703.11</v>
      </c>
      <c r="D100" s="228"/>
      <c r="E100" s="1232"/>
      <c r="F100" s="228">
        <f t="shared" si="1"/>
        <v>20703.11</v>
      </c>
    </row>
    <row r="101" spans="1:6" ht="12.75">
      <c r="A101" t="s">
        <v>1785</v>
      </c>
      <c r="B101" t="s">
        <v>1524</v>
      </c>
      <c r="C101" s="228">
        <v>14582.41</v>
      </c>
      <c r="D101" s="228"/>
      <c r="E101" s="1232"/>
      <c r="F101" s="228">
        <f t="shared" si="1"/>
        <v>14582.41</v>
      </c>
    </row>
    <row r="102" spans="1:6" ht="12.75">
      <c r="A102" t="s">
        <v>1786</v>
      </c>
      <c r="B102" t="s">
        <v>1526</v>
      </c>
      <c r="C102" s="228">
        <v>25132.73</v>
      </c>
      <c r="D102" s="228"/>
      <c r="E102" s="1232"/>
      <c r="F102" s="228">
        <f t="shared" si="1"/>
        <v>25132.73</v>
      </c>
    </row>
    <row r="103" spans="1:6" ht="12.75">
      <c r="A103" t="s">
        <v>1787</v>
      </c>
      <c r="B103" t="s">
        <v>1528</v>
      </c>
      <c r="C103" s="228">
        <v>7849.64</v>
      </c>
      <c r="D103" s="228">
        <v>7849.64</v>
      </c>
      <c r="E103" s="1232"/>
      <c r="F103" s="228">
        <v>0</v>
      </c>
    </row>
    <row r="104" spans="1:6" ht="12.75">
      <c r="A104" t="s">
        <v>1788</v>
      </c>
      <c r="B104" t="s">
        <v>1530</v>
      </c>
      <c r="C104" s="228">
        <v>21914.629999999997</v>
      </c>
      <c r="D104" s="228">
        <v>21914.63</v>
      </c>
      <c r="E104" s="1232">
        <v>41050</v>
      </c>
      <c r="F104" s="228">
        <f t="shared" si="1"/>
        <v>0</v>
      </c>
    </row>
    <row r="105" spans="1:6" ht="12.75">
      <c r="A105" t="s">
        <v>1789</v>
      </c>
      <c r="B105" t="s">
        <v>1532</v>
      </c>
      <c r="C105" s="228">
        <v>5464.46</v>
      </c>
      <c r="D105" s="228"/>
      <c r="E105" s="1232"/>
      <c r="F105" s="228">
        <f t="shared" si="1"/>
        <v>5464.46</v>
      </c>
    </row>
    <row r="106" spans="1:6" ht="12.75">
      <c r="A106" t="s">
        <v>1790</v>
      </c>
      <c r="B106" t="s">
        <v>1791</v>
      </c>
      <c r="C106" s="228">
        <v>5294.09</v>
      </c>
      <c r="D106" s="228"/>
      <c r="E106" s="1232"/>
      <c r="F106" s="228">
        <f t="shared" si="1"/>
        <v>5294.09</v>
      </c>
    </row>
    <row r="107" spans="1:6" ht="12.75">
      <c r="A107" t="s">
        <v>1792</v>
      </c>
      <c r="B107" t="s">
        <v>1536</v>
      </c>
      <c r="C107" s="228">
        <v>68148</v>
      </c>
      <c r="D107" s="228"/>
      <c r="E107" s="1232"/>
      <c r="F107" s="228">
        <f t="shared" si="1"/>
        <v>68148</v>
      </c>
    </row>
    <row r="108" spans="1:6" ht="12.75">
      <c r="A108" t="s">
        <v>1793</v>
      </c>
      <c r="B108" t="s">
        <v>1538</v>
      </c>
      <c r="C108" s="228">
        <v>13907.240000000002</v>
      </c>
      <c r="D108" s="228"/>
      <c r="E108" s="1232"/>
      <c r="F108" s="228">
        <f t="shared" si="1"/>
        <v>13907.240000000002</v>
      </c>
    </row>
    <row r="109" spans="1:6" ht="12.75">
      <c r="A109" t="s">
        <v>1794</v>
      </c>
      <c r="B109" t="s">
        <v>1540</v>
      </c>
      <c r="C109" s="228">
        <v>19775.539999999997</v>
      </c>
      <c r="D109" s="228"/>
      <c r="E109" s="1232"/>
      <c r="F109" s="228">
        <f t="shared" si="1"/>
        <v>19775.539999999997</v>
      </c>
    </row>
    <row r="110" spans="1:6" ht="12.75">
      <c r="A110" t="s">
        <v>1795</v>
      </c>
      <c r="B110" t="s">
        <v>1542</v>
      </c>
      <c r="C110" s="228">
        <v>29732.72</v>
      </c>
      <c r="D110" s="228"/>
      <c r="E110" s="1232"/>
      <c r="F110" s="228">
        <f t="shared" si="1"/>
        <v>29732.72</v>
      </c>
    </row>
    <row r="111" spans="1:6" ht="12.75">
      <c r="A111" t="s">
        <v>1796</v>
      </c>
      <c r="B111" t="s">
        <v>1544</v>
      </c>
      <c r="C111" s="228">
        <v>13534.95</v>
      </c>
      <c r="D111" s="228"/>
      <c r="E111" s="1232"/>
      <c r="F111" s="228">
        <f t="shared" si="1"/>
        <v>13534.95</v>
      </c>
    </row>
    <row r="112" spans="1:6" ht="12.75">
      <c r="A112" t="s">
        <v>1797</v>
      </c>
      <c r="B112" t="s">
        <v>1546</v>
      </c>
      <c r="C112" s="228">
        <v>17207.37</v>
      </c>
      <c r="D112" s="228"/>
      <c r="E112" s="1232"/>
      <c r="F112" s="228">
        <f t="shared" si="1"/>
        <v>17207.37</v>
      </c>
    </row>
    <row r="113" spans="1:6" ht="12.75">
      <c r="A113" t="s">
        <v>1798</v>
      </c>
      <c r="B113" t="s">
        <v>1548</v>
      </c>
      <c r="C113" s="228">
        <v>9042.23</v>
      </c>
      <c r="D113" s="228"/>
      <c r="E113" s="1232"/>
      <c r="F113" s="228">
        <f t="shared" si="1"/>
        <v>9042.23</v>
      </c>
    </row>
    <row r="114" spans="1:6" ht="12.75">
      <c r="A114" t="s">
        <v>1799</v>
      </c>
      <c r="B114" t="s">
        <v>1550</v>
      </c>
      <c r="C114" s="228">
        <v>43810.329999999994</v>
      </c>
      <c r="D114" s="228"/>
      <c r="E114" s="1232"/>
      <c r="F114" s="228">
        <f t="shared" si="1"/>
        <v>43810.329999999994</v>
      </c>
    </row>
    <row r="115" spans="1:6" ht="12.75">
      <c r="A115" t="s">
        <v>1800</v>
      </c>
      <c r="B115" t="s">
        <v>1552</v>
      </c>
      <c r="C115" s="228">
        <v>18841.66</v>
      </c>
      <c r="D115" s="228"/>
      <c r="E115" s="1232"/>
      <c r="F115" s="228">
        <f t="shared" si="1"/>
        <v>18841.66</v>
      </c>
    </row>
    <row r="116" spans="1:6" ht="12.75">
      <c r="A116" t="s">
        <v>1801</v>
      </c>
      <c r="B116" t="s">
        <v>1554</v>
      </c>
      <c r="C116" s="228">
        <v>9950.869999999999</v>
      </c>
      <c r="D116" s="228">
        <v>9950.87</v>
      </c>
      <c r="E116" s="1232">
        <v>41050</v>
      </c>
      <c r="F116" s="228">
        <f t="shared" si="1"/>
        <v>0</v>
      </c>
    </row>
    <row r="117" spans="1:6" ht="12.75">
      <c r="A117" t="s">
        <v>1802</v>
      </c>
      <c r="B117" t="s">
        <v>1556</v>
      </c>
      <c r="C117" s="228">
        <v>31449.039999999997</v>
      </c>
      <c r="D117" s="228"/>
      <c r="E117" s="1232"/>
      <c r="F117" s="228">
        <f t="shared" si="1"/>
        <v>31449.039999999997</v>
      </c>
    </row>
    <row r="118" spans="1:6" ht="12.75">
      <c r="A118" t="s">
        <v>1803</v>
      </c>
      <c r="B118" t="s">
        <v>1558</v>
      </c>
      <c r="C118" s="228">
        <v>7142.92</v>
      </c>
      <c r="D118" s="228"/>
      <c r="E118" s="1232"/>
      <c r="F118" s="228">
        <f t="shared" si="1"/>
        <v>7142.92</v>
      </c>
    </row>
    <row r="119" spans="1:6" ht="12.75">
      <c r="A119" t="s">
        <v>1804</v>
      </c>
      <c r="B119" t="s">
        <v>1560</v>
      </c>
      <c r="C119" s="228">
        <v>19094.06</v>
      </c>
      <c r="D119" s="228"/>
      <c r="E119" s="1232"/>
      <c r="F119" s="228">
        <f t="shared" si="1"/>
        <v>19094.06</v>
      </c>
    </row>
    <row r="120" spans="1:6" ht="12.75">
      <c r="A120" t="s">
        <v>1805</v>
      </c>
      <c r="B120" t="s">
        <v>1806</v>
      </c>
      <c r="C120" s="228">
        <v>9913.01</v>
      </c>
      <c r="D120" s="228"/>
      <c r="E120" s="1232"/>
      <c r="F120" s="228">
        <f t="shared" si="1"/>
        <v>9913.01</v>
      </c>
    </row>
    <row r="121" spans="1:6" ht="12.75">
      <c r="A121" t="s">
        <v>1807</v>
      </c>
      <c r="B121" t="s">
        <v>1564</v>
      </c>
      <c r="C121" s="228">
        <v>8947.58</v>
      </c>
      <c r="D121" s="228"/>
      <c r="E121" s="1232"/>
      <c r="F121" s="228">
        <f t="shared" si="1"/>
        <v>8947.58</v>
      </c>
    </row>
    <row r="122" spans="1:6" ht="12.75">
      <c r="A122" t="s">
        <v>1808</v>
      </c>
      <c r="B122" t="s">
        <v>1566</v>
      </c>
      <c r="C122" s="228">
        <v>12146.75</v>
      </c>
      <c r="D122" s="228"/>
      <c r="E122" s="1232"/>
      <c r="F122" s="228">
        <f t="shared" si="1"/>
        <v>12146.75</v>
      </c>
    </row>
    <row r="123" spans="1:6" ht="12.75">
      <c r="A123" t="s">
        <v>1809</v>
      </c>
      <c r="B123" t="s">
        <v>1810</v>
      </c>
      <c r="C123" s="228">
        <v>28855.629999999997</v>
      </c>
      <c r="D123" s="228"/>
      <c r="E123" s="1232"/>
      <c r="F123" s="228">
        <f t="shared" si="1"/>
        <v>28855.629999999997</v>
      </c>
    </row>
    <row r="124" spans="1:6" ht="12.75">
      <c r="A124" t="s">
        <v>1811</v>
      </c>
      <c r="B124" t="s">
        <v>1570</v>
      </c>
      <c r="C124" s="228">
        <v>5243.61</v>
      </c>
      <c r="D124" s="228">
        <v>5243.61</v>
      </c>
      <c r="E124" s="1232">
        <v>41043</v>
      </c>
      <c r="F124" s="228">
        <f t="shared" si="1"/>
        <v>0</v>
      </c>
    </row>
    <row r="125" spans="1:6" ht="12.75">
      <c r="A125" t="s">
        <v>1812</v>
      </c>
      <c r="B125" t="s">
        <v>1572</v>
      </c>
      <c r="C125" s="228">
        <v>13030.15</v>
      </c>
      <c r="D125" s="228"/>
      <c r="E125" s="1232"/>
      <c r="F125" s="228">
        <f t="shared" si="1"/>
        <v>13030.15</v>
      </c>
    </row>
    <row r="126" spans="1:6" ht="12.75">
      <c r="A126" t="s">
        <v>1813</v>
      </c>
      <c r="B126" t="s">
        <v>1574</v>
      </c>
      <c r="C126" s="228">
        <v>32231.480000000003</v>
      </c>
      <c r="D126" s="228"/>
      <c r="E126" s="1232"/>
      <c r="F126" s="228">
        <f t="shared" si="1"/>
        <v>32231.480000000003</v>
      </c>
    </row>
    <row r="127" spans="1:6" ht="12.75">
      <c r="A127" t="s">
        <v>1814</v>
      </c>
      <c r="B127" t="s">
        <v>1576</v>
      </c>
      <c r="C127" s="228">
        <v>8789.83</v>
      </c>
      <c r="D127" s="228"/>
      <c r="E127" s="1232"/>
      <c r="F127" s="228">
        <f t="shared" si="1"/>
        <v>8789.83</v>
      </c>
    </row>
    <row r="128" spans="1:6" ht="12.75">
      <c r="A128" t="s">
        <v>1815</v>
      </c>
      <c r="B128" t="s">
        <v>1578</v>
      </c>
      <c r="C128" s="228">
        <v>29108.03</v>
      </c>
      <c r="D128" s="228"/>
      <c r="E128" s="1232"/>
      <c r="F128" s="228">
        <f t="shared" si="1"/>
        <v>29108.03</v>
      </c>
    </row>
    <row r="129" spans="1:6" ht="12.75">
      <c r="A129" t="s">
        <v>1816</v>
      </c>
      <c r="B129" t="s">
        <v>1580</v>
      </c>
      <c r="C129" s="228">
        <v>11074.05</v>
      </c>
      <c r="D129" s="228"/>
      <c r="E129" s="1232"/>
      <c r="F129" s="228">
        <f t="shared" si="1"/>
        <v>11074.05</v>
      </c>
    </row>
    <row r="130" spans="1:6" ht="12.75">
      <c r="A130" t="s">
        <v>1817</v>
      </c>
      <c r="B130" t="s">
        <v>1582</v>
      </c>
      <c r="C130" s="228">
        <v>7262.8099999999995</v>
      </c>
      <c r="D130" s="228">
        <v>7262.81</v>
      </c>
      <c r="E130" s="1232">
        <v>41054</v>
      </c>
      <c r="F130" s="228">
        <f t="shared" si="1"/>
        <v>0</v>
      </c>
    </row>
    <row r="131" spans="1:6" ht="12.75">
      <c r="A131" t="s">
        <v>1818</v>
      </c>
      <c r="B131" t="s">
        <v>1584</v>
      </c>
      <c r="C131" s="228">
        <v>24508.039999999997</v>
      </c>
      <c r="D131" s="228">
        <v>24508.04</v>
      </c>
      <c r="E131" s="1232">
        <v>41046</v>
      </c>
      <c r="F131" s="228">
        <f aca="true" t="shared" si="2" ref="F131:F176">C131-D131</f>
        <v>0</v>
      </c>
    </row>
    <row r="132" spans="1:6" ht="12.75">
      <c r="A132" t="s">
        <v>1819</v>
      </c>
      <c r="B132" t="s">
        <v>1586</v>
      </c>
      <c r="C132" s="228">
        <v>74022.61</v>
      </c>
      <c r="D132" s="228"/>
      <c r="E132" s="1232"/>
      <c r="F132" s="228">
        <f t="shared" si="2"/>
        <v>74022.61</v>
      </c>
    </row>
    <row r="133" spans="1:6" ht="12.75">
      <c r="A133" t="s">
        <v>1820</v>
      </c>
      <c r="B133" t="s">
        <v>1588</v>
      </c>
      <c r="C133" s="228">
        <v>11749.22</v>
      </c>
      <c r="D133" s="228"/>
      <c r="E133" s="1232"/>
      <c r="F133" s="228">
        <f t="shared" si="2"/>
        <v>11749.22</v>
      </c>
    </row>
    <row r="134" spans="1:6" ht="12.75">
      <c r="A134" t="s">
        <v>1821</v>
      </c>
      <c r="B134" t="s">
        <v>1590</v>
      </c>
      <c r="C134" s="228">
        <v>25542.879999999997</v>
      </c>
      <c r="D134" s="228"/>
      <c r="E134" s="1232"/>
      <c r="F134" s="228">
        <f t="shared" si="2"/>
        <v>25542.879999999997</v>
      </c>
    </row>
    <row r="135" spans="1:6" ht="12.75">
      <c r="A135" t="s">
        <v>1822</v>
      </c>
      <c r="B135" t="s">
        <v>1592</v>
      </c>
      <c r="C135" s="228">
        <v>4858.7</v>
      </c>
      <c r="D135" s="228">
        <v>4858.7</v>
      </c>
      <c r="E135" s="1232">
        <v>41043</v>
      </c>
      <c r="F135" s="228">
        <f t="shared" si="2"/>
        <v>0</v>
      </c>
    </row>
    <row r="136" spans="1:6" ht="12.75">
      <c r="A136" t="s">
        <v>1823</v>
      </c>
      <c r="B136" t="s">
        <v>1594</v>
      </c>
      <c r="C136" s="228">
        <v>16904.49</v>
      </c>
      <c r="D136" s="228"/>
      <c r="E136" s="1232"/>
      <c r="F136" s="228">
        <f t="shared" si="2"/>
        <v>16904.49</v>
      </c>
    </row>
    <row r="137" spans="1:6" ht="12.75">
      <c r="A137" t="s">
        <v>1824</v>
      </c>
      <c r="B137" t="s">
        <v>1596</v>
      </c>
      <c r="C137" s="228">
        <v>5161.58</v>
      </c>
      <c r="D137" s="228"/>
      <c r="E137" s="1232"/>
      <c r="F137" s="228">
        <f t="shared" si="2"/>
        <v>5161.58</v>
      </c>
    </row>
    <row r="138" spans="1:6" ht="12.75">
      <c r="A138" t="s">
        <v>1825</v>
      </c>
      <c r="B138" t="s">
        <v>1598</v>
      </c>
      <c r="C138" s="228">
        <v>4593.68</v>
      </c>
      <c r="D138" s="228"/>
      <c r="E138" s="1232"/>
      <c r="F138" s="228">
        <f t="shared" si="2"/>
        <v>4593.68</v>
      </c>
    </row>
    <row r="139" spans="1:6" ht="12.75">
      <c r="A139" t="s">
        <v>1826</v>
      </c>
      <c r="B139" t="s">
        <v>1600</v>
      </c>
      <c r="C139" s="228">
        <v>16058.95</v>
      </c>
      <c r="D139" s="228"/>
      <c r="E139" s="1232"/>
      <c r="F139" s="228">
        <f t="shared" si="2"/>
        <v>16058.95</v>
      </c>
    </row>
    <row r="140" spans="1:6" ht="12.75">
      <c r="A140" t="s">
        <v>1827</v>
      </c>
      <c r="B140" t="s">
        <v>1602</v>
      </c>
      <c r="C140" s="228">
        <v>26413.66</v>
      </c>
      <c r="D140" s="228"/>
      <c r="E140" s="1232"/>
      <c r="F140" s="228">
        <f t="shared" si="2"/>
        <v>26413.66</v>
      </c>
    </row>
    <row r="141" spans="1:6" ht="12.75">
      <c r="A141" t="s">
        <v>1828</v>
      </c>
      <c r="B141" t="s">
        <v>1604</v>
      </c>
      <c r="C141" s="228">
        <v>60247.88</v>
      </c>
      <c r="D141" s="228"/>
      <c r="E141" s="1232"/>
      <c r="F141" s="228">
        <f t="shared" si="2"/>
        <v>60247.88</v>
      </c>
    </row>
    <row r="142" spans="1:6" ht="12.75">
      <c r="A142" t="s">
        <v>1829</v>
      </c>
      <c r="B142" t="s">
        <v>1606</v>
      </c>
      <c r="C142" s="228">
        <v>7344.84</v>
      </c>
      <c r="D142" s="228"/>
      <c r="E142" s="1232"/>
      <c r="F142" s="228">
        <f t="shared" si="2"/>
        <v>7344.84</v>
      </c>
    </row>
    <row r="143" spans="1:6" ht="12.75">
      <c r="A143" t="s">
        <v>1830</v>
      </c>
      <c r="B143" t="s">
        <v>1608</v>
      </c>
      <c r="C143" s="228">
        <v>3375.85</v>
      </c>
      <c r="D143" s="228"/>
      <c r="E143" s="1232"/>
      <c r="F143" s="228">
        <f t="shared" si="2"/>
        <v>3375.85</v>
      </c>
    </row>
    <row r="144" spans="1:6" ht="12.75">
      <c r="A144" t="s">
        <v>1831</v>
      </c>
      <c r="B144" t="s">
        <v>1610</v>
      </c>
      <c r="C144" s="228">
        <v>15080.9</v>
      </c>
      <c r="D144" s="228"/>
      <c r="E144" s="1232"/>
      <c r="F144" s="228">
        <f t="shared" si="2"/>
        <v>15080.9</v>
      </c>
    </row>
    <row r="145" spans="1:6" ht="12.75">
      <c r="A145" t="s">
        <v>1832</v>
      </c>
      <c r="B145" t="s">
        <v>1612</v>
      </c>
      <c r="C145" s="228">
        <v>50044.61</v>
      </c>
      <c r="D145" s="228"/>
      <c r="E145" s="1232"/>
      <c r="F145" s="228">
        <f t="shared" si="2"/>
        <v>50044.61</v>
      </c>
    </row>
    <row r="146" spans="1:6" ht="12.75">
      <c r="A146" t="s">
        <v>1833</v>
      </c>
      <c r="B146" t="s">
        <v>1614</v>
      </c>
      <c r="C146" s="228">
        <v>6581.33</v>
      </c>
      <c r="D146" s="228"/>
      <c r="E146" s="1232"/>
      <c r="F146" s="228">
        <f t="shared" si="2"/>
        <v>6581.33</v>
      </c>
    </row>
    <row r="147" spans="1:6" ht="12.75">
      <c r="A147" t="s">
        <v>1834</v>
      </c>
      <c r="B147" t="s">
        <v>1616</v>
      </c>
      <c r="C147" s="228">
        <v>2252.67</v>
      </c>
      <c r="D147" s="228"/>
      <c r="E147" s="1232"/>
      <c r="F147" s="228">
        <f t="shared" si="2"/>
        <v>2252.67</v>
      </c>
    </row>
    <row r="148" spans="1:6" ht="12.75">
      <c r="A148" t="s">
        <v>1835</v>
      </c>
      <c r="B148" t="s">
        <v>1618</v>
      </c>
      <c r="C148" s="228">
        <v>18223.28</v>
      </c>
      <c r="D148" s="228"/>
      <c r="E148" s="1232"/>
      <c r="F148" s="228">
        <f t="shared" si="2"/>
        <v>18223.28</v>
      </c>
    </row>
    <row r="149" spans="1:6" ht="12.75">
      <c r="A149" t="s">
        <v>1836</v>
      </c>
      <c r="B149" t="s">
        <v>1620</v>
      </c>
      <c r="C149" s="228">
        <v>19750.3</v>
      </c>
      <c r="D149" s="228"/>
      <c r="E149" s="1232"/>
      <c r="F149" s="228">
        <f t="shared" si="2"/>
        <v>19750.3</v>
      </c>
    </row>
    <row r="150" spans="1:6" ht="12.75">
      <c r="A150" t="s">
        <v>1837</v>
      </c>
      <c r="B150" t="s">
        <v>1622</v>
      </c>
      <c r="C150" s="228">
        <v>18235.9</v>
      </c>
      <c r="D150" s="228"/>
      <c r="E150" s="1232"/>
      <c r="F150" s="228">
        <f t="shared" si="2"/>
        <v>18235.9</v>
      </c>
    </row>
    <row r="151" spans="1:6" ht="12.75">
      <c r="A151" t="s">
        <v>1838</v>
      </c>
      <c r="B151" t="s">
        <v>1624</v>
      </c>
      <c r="C151" s="228">
        <v>13882</v>
      </c>
      <c r="D151" s="228"/>
      <c r="E151" s="1232"/>
      <c r="F151" s="228">
        <f t="shared" si="2"/>
        <v>13882</v>
      </c>
    </row>
    <row r="152" spans="1:6" ht="12.75">
      <c r="A152" t="s">
        <v>1839</v>
      </c>
      <c r="B152" t="s">
        <v>1626</v>
      </c>
      <c r="C152" s="228">
        <v>6474.0599999999995</v>
      </c>
      <c r="D152" s="228"/>
      <c r="E152" s="1232"/>
      <c r="F152" s="228">
        <f t="shared" si="2"/>
        <v>6474.0599999999995</v>
      </c>
    </row>
    <row r="153" spans="1:6" ht="12.75">
      <c r="A153" t="s">
        <v>1840</v>
      </c>
      <c r="B153" t="s">
        <v>1628</v>
      </c>
      <c r="C153" s="228">
        <v>3079.2799999999997</v>
      </c>
      <c r="D153" s="228"/>
      <c r="E153" s="1232"/>
      <c r="F153" s="228">
        <f t="shared" si="2"/>
        <v>3079.2799999999997</v>
      </c>
    </row>
    <row r="154" spans="1:6" ht="12.75">
      <c r="A154" t="s">
        <v>1841</v>
      </c>
      <c r="B154" t="s">
        <v>1630</v>
      </c>
      <c r="C154" s="228">
        <v>51155.170000000006</v>
      </c>
      <c r="D154" s="228"/>
      <c r="E154" s="1232"/>
      <c r="F154" s="228">
        <f t="shared" si="2"/>
        <v>51155.170000000006</v>
      </c>
    </row>
    <row r="155" spans="1:6" ht="12.75">
      <c r="A155" t="s">
        <v>1842</v>
      </c>
      <c r="B155" t="s">
        <v>1632</v>
      </c>
      <c r="C155" s="228">
        <v>41033.93</v>
      </c>
      <c r="D155" s="228"/>
      <c r="E155" s="1232"/>
      <c r="F155" s="228">
        <f t="shared" si="2"/>
        <v>41033.93</v>
      </c>
    </row>
    <row r="156" spans="1:6" ht="12.75">
      <c r="A156" t="s">
        <v>1843</v>
      </c>
      <c r="B156" t="s">
        <v>1634</v>
      </c>
      <c r="C156" s="228">
        <v>1362.96</v>
      </c>
      <c r="D156" s="228"/>
      <c r="E156" s="1232"/>
      <c r="F156" s="228">
        <f t="shared" si="2"/>
        <v>1362.96</v>
      </c>
    </row>
    <row r="157" spans="1:6" ht="12.75">
      <c r="A157" t="s">
        <v>1844</v>
      </c>
      <c r="B157" t="s">
        <v>1636</v>
      </c>
      <c r="C157" s="228">
        <v>18532.47</v>
      </c>
      <c r="D157" s="228"/>
      <c r="E157" s="1232"/>
      <c r="F157" s="228">
        <f t="shared" si="2"/>
        <v>18532.47</v>
      </c>
    </row>
    <row r="158" spans="1:6" ht="12.75">
      <c r="A158" t="s">
        <v>1845</v>
      </c>
      <c r="B158" t="s">
        <v>1638</v>
      </c>
      <c r="C158" s="228">
        <v>9313.56</v>
      </c>
      <c r="D158" s="228"/>
      <c r="E158" s="1232"/>
      <c r="F158" s="228">
        <f t="shared" si="2"/>
        <v>9313.56</v>
      </c>
    </row>
    <row r="159" spans="1:6" ht="12.75">
      <c r="A159" t="s">
        <v>1846</v>
      </c>
      <c r="B159" t="s">
        <v>1640</v>
      </c>
      <c r="C159" s="228">
        <v>1318.79</v>
      </c>
      <c r="D159" s="228">
        <v>1318.79</v>
      </c>
      <c r="E159" s="1232">
        <v>41039</v>
      </c>
      <c r="F159" s="228">
        <f t="shared" si="2"/>
        <v>0</v>
      </c>
    </row>
    <row r="160" spans="1:6" ht="12.75">
      <c r="A160" t="s">
        <v>1847</v>
      </c>
      <c r="B160" t="s">
        <v>1642</v>
      </c>
      <c r="C160" s="228">
        <v>17428.22</v>
      </c>
      <c r="D160" s="228"/>
      <c r="E160" s="1232"/>
      <c r="F160" s="228">
        <f t="shared" si="2"/>
        <v>17428.22</v>
      </c>
    </row>
    <row r="161" spans="1:6" ht="12.75">
      <c r="A161" t="s">
        <v>1848</v>
      </c>
      <c r="B161" t="s">
        <v>1644</v>
      </c>
      <c r="C161" s="228">
        <v>16645.78</v>
      </c>
      <c r="D161" s="228"/>
      <c r="E161" s="1232"/>
      <c r="F161" s="228">
        <f t="shared" si="2"/>
        <v>16645.78</v>
      </c>
    </row>
    <row r="162" spans="1:6" ht="12.75">
      <c r="A162" t="s">
        <v>1849</v>
      </c>
      <c r="B162" t="s">
        <v>1646</v>
      </c>
      <c r="C162" s="228">
        <v>12620</v>
      </c>
      <c r="D162" s="228"/>
      <c r="E162" s="1232"/>
      <c r="F162" s="228">
        <f t="shared" si="2"/>
        <v>12620</v>
      </c>
    </row>
    <row r="163" spans="1:6" ht="12.75">
      <c r="A163" t="s">
        <v>1850</v>
      </c>
      <c r="B163" t="s">
        <v>1648</v>
      </c>
      <c r="C163" s="228">
        <v>12758.82</v>
      </c>
      <c r="D163" s="228"/>
      <c r="E163" s="1232"/>
      <c r="F163" s="228">
        <f t="shared" si="2"/>
        <v>12758.82</v>
      </c>
    </row>
    <row r="164" spans="1:6" ht="12.75">
      <c r="A164" t="s">
        <v>1851</v>
      </c>
      <c r="B164" t="s">
        <v>1650</v>
      </c>
      <c r="C164" s="228">
        <v>9181.05</v>
      </c>
      <c r="D164" s="228"/>
      <c r="E164" s="1232"/>
      <c r="F164" s="228">
        <f t="shared" si="2"/>
        <v>9181.05</v>
      </c>
    </row>
    <row r="165" spans="1:6" ht="12.75">
      <c r="A165" t="s">
        <v>1852</v>
      </c>
      <c r="B165" t="s">
        <v>1652</v>
      </c>
      <c r="C165" s="228">
        <v>14090.230000000001</v>
      </c>
      <c r="D165" s="228"/>
      <c r="E165" s="1232"/>
      <c r="F165" s="228">
        <f t="shared" si="2"/>
        <v>14090.230000000001</v>
      </c>
    </row>
    <row r="166" spans="1:6" ht="12.75">
      <c r="A166" t="s">
        <v>1853</v>
      </c>
      <c r="B166" t="s">
        <v>1654</v>
      </c>
      <c r="C166" s="228">
        <v>9641.68</v>
      </c>
      <c r="D166" s="228"/>
      <c r="E166" s="1232"/>
      <c r="F166" s="228">
        <f t="shared" si="2"/>
        <v>9641.68</v>
      </c>
    </row>
    <row r="167" spans="1:6" ht="12.75">
      <c r="A167" t="s">
        <v>1854</v>
      </c>
      <c r="B167" t="s">
        <v>1656</v>
      </c>
      <c r="C167" s="228">
        <v>84661.26999999999</v>
      </c>
      <c r="D167" s="228"/>
      <c r="E167" s="1232"/>
      <c r="F167" s="228">
        <f t="shared" si="2"/>
        <v>84661.26999999999</v>
      </c>
    </row>
    <row r="168" spans="1:6" ht="12.75">
      <c r="A168" t="s">
        <v>1855</v>
      </c>
      <c r="B168" t="s">
        <v>1658</v>
      </c>
      <c r="C168" s="228">
        <v>10253.75</v>
      </c>
      <c r="D168" s="228"/>
      <c r="E168" s="1232"/>
      <c r="F168" s="228">
        <f t="shared" si="2"/>
        <v>10253.75</v>
      </c>
    </row>
    <row r="169" spans="1:6" ht="12.75">
      <c r="A169" t="s">
        <v>1856</v>
      </c>
      <c r="B169" t="s">
        <v>1660</v>
      </c>
      <c r="C169" s="228">
        <v>15680.35</v>
      </c>
      <c r="D169" s="228"/>
      <c r="E169" s="1232"/>
      <c r="F169" s="228">
        <f t="shared" si="2"/>
        <v>15680.35</v>
      </c>
    </row>
    <row r="170" spans="1:6" ht="12.75">
      <c r="A170" t="s">
        <v>1857</v>
      </c>
      <c r="B170" t="s">
        <v>1662</v>
      </c>
      <c r="C170" s="228">
        <v>13490.78</v>
      </c>
      <c r="D170" s="228"/>
      <c r="E170" s="1232"/>
      <c r="F170" s="228">
        <f t="shared" si="2"/>
        <v>13490.78</v>
      </c>
    </row>
    <row r="171" spans="1:6" ht="12.75">
      <c r="A171" t="s">
        <v>1858</v>
      </c>
      <c r="B171" t="s">
        <v>1664</v>
      </c>
      <c r="C171" s="228">
        <v>687.79</v>
      </c>
      <c r="D171" s="228">
        <v>687.79</v>
      </c>
      <c r="E171" s="1232">
        <v>41050</v>
      </c>
      <c r="F171" s="228">
        <f t="shared" si="2"/>
        <v>0</v>
      </c>
    </row>
    <row r="172" spans="1:6" ht="12.75">
      <c r="A172" t="s">
        <v>1859</v>
      </c>
      <c r="B172" t="s">
        <v>1666</v>
      </c>
      <c r="C172" s="228">
        <v>27700.9</v>
      </c>
      <c r="D172" s="228"/>
      <c r="E172" s="1232"/>
      <c r="F172" s="228">
        <f t="shared" si="2"/>
        <v>27700.9</v>
      </c>
    </row>
    <row r="173" spans="1:6" ht="12.75">
      <c r="A173" t="s">
        <v>1860</v>
      </c>
      <c r="B173" t="s">
        <v>1668</v>
      </c>
      <c r="C173" s="228">
        <v>4675.71</v>
      </c>
      <c r="D173" s="228"/>
      <c r="E173" s="1232"/>
      <c r="F173" s="228">
        <f t="shared" si="2"/>
        <v>4675.71</v>
      </c>
    </row>
    <row r="174" spans="1:6" ht="12.75">
      <c r="A174" t="s">
        <v>1861</v>
      </c>
      <c r="B174" t="s">
        <v>1670</v>
      </c>
      <c r="C174" s="228">
        <v>5603.280000000001</v>
      </c>
      <c r="D174" s="228"/>
      <c r="E174" s="1232"/>
      <c r="F174" s="228">
        <f t="shared" si="2"/>
        <v>5603.280000000001</v>
      </c>
    </row>
    <row r="175" spans="1:6" ht="12.75">
      <c r="A175" t="s">
        <v>1862</v>
      </c>
      <c r="B175" t="s">
        <v>1672</v>
      </c>
      <c r="C175" s="228">
        <v>7994.77</v>
      </c>
      <c r="D175" s="228"/>
      <c r="E175" s="1232"/>
      <c r="F175" s="228">
        <f t="shared" si="2"/>
        <v>7994.77</v>
      </c>
    </row>
    <row r="176" spans="1:6" ht="12.75">
      <c r="A176" t="s">
        <v>1863</v>
      </c>
      <c r="B176" t="s">
        <v>1674</v>
      </c>
      <c r="C176" s="228">
        <v>25019.15</v>
      </c>
      <c r="D176" s="228"/>
      <c r="E176" s="1232"/>
      <c r="F176" s="228">
        <f t="shared" si="2"/>
        <v>25019.15</v>
      </c>
    </row>
    <row r="177" spans="3:6" ht="14.25">
      <c r="C177" s="1236">
        <f>SUM(C2:C176)</f>
        <v>5653110.580000002</v>
      </c>
      <c r="D177" s="228"/>
      <c r="E177" s="1232"/>
      <c r="F177" s="1236">
        <f>SUM(F2:F176)</f>
        <v>5317525.850000001</v>
      </c>
    </row>
    <row r="178" spans="3:6" ht="12.75">
      <c r="C178" s="228"/>
      <c r="D178" s="228"/>
      <c r="E178" s="1232"/>
      <c r="F178" s="228"/>
    </row>
    <row r="179" spans="3:6" ht="12.75">
      <c r="C179" s="228"/>
      <c r="D179" s="228"/>
      <c r="E179" s="1232"/>
      <c r="F179" s="228"/>
    </row>
    <row r="180" spans="3:6" ht="12.75">
      <c r="C180" s="228">
        <f>C177-C92</f>
        <v>4100282.170000002</v>
      </c>
      <c r="D180" s="228"/>
      <c r="E180" s="1232"/>
      <c r="F180" s="22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O233"/>
  <sheetViews>
    <sheetView tabSelected="1" zoomScale="70" zoomScaleNormal="70" zoomScaleSheetLayoutView="50" zoomScalePageLayoutView="0" workbookViewId="0" topLeftCell="A1">
      <pane xSplit="1" ySplit="1" topLeftCell="B137" activePane="bottomRight" state="frozen"/>
      <selection pane="topLeft" activeCell="A1" sqref="A1"/>
      <selection pane="topRight" activeCell="B1" sqref="B1"/>
      <selection pane="bottomLeft" activeCell="A2" sqref="A2"/>
      <selection pane="bottomRight" activeCell="A150" sqref="A150"/>
    </sheetView>
  </sheetViews>
  <sheetFormatPr defaultColWidth="9.140625" defaultRowHeight="12.75"/>
  <cols>
    <col min="1" max="1" width="63.7109375" style="1253" customWidth="1"/>
    <col min="2" max="2" width="18.140625" style="1052" hidden="1" customWidth="1"/>
    <col min="3" max="3" width="14.28125" style="875" customWidth="1"/>
    <col min="4" max="4" width="12.7109375" style="875" hidden="1" customWidth="1"/>
    <col min="5" max="5" width="17.00390625" style="1001" customWidth="1"/>
    <col min="6" max="6" width="17.00390625" style="1001" hidden="1" customWidth="1"/>
    <col min="7" max="7" width="17.00390625" style="1003" customWidth="1"/>
    <col min="8" max="8" width="17.00390625" style="1003" hidden="1" customWidth="1"/>
    <col min="9" max="9" width="18.421875" style="1315" customWidth="1"/>
    <col min="10" max="10" width="17.00390625" style="1315" hidden="1" customWidth="1"/>
    <col min="11" max="11" width="20.7109375" style="1315" customWidth="1"/>
    <col min="12" max="13" width="19.57421875" style="1315" hidden="1" customWidth="1"/>
    <col min="14" max="14" width="4.8515625" style="1360" customWidth="1"/>
    <col min="15" max="15" width="16.7109375" style="1360" hidden="1" customWidth="1"/>
    <col min="16" max="17" width="22.421875" style="1322" hidden="1" customWidth="1"/>
    <col min="18" max="18" width="14.140625" style="1304" hidden="1" customWidth="1"/>
    <col min="19" max="19" width="21.140625" style="1322" hidden="1" customWidth="1"/>
    <col min="20" max="20" width="14.57421875" style="1322" hidden="1" customWidth="1"/>
    <col min="21" max="21" width="16.140625" style="1322" hidden="1" customWidth="1"/>
    <col min="22" max="22" width="15.140625" style="1322" hidden="1" customWidth="1"/>
    <col min="23" max="23" width="17.140625" style="1322" hidden="1" customWidth="1"/>
    <col min="24" max="24" width="13.140625" style="1359" hidden="1" customWidth="1"/>
    <col min="25" max="26" width="17.00390625" style="1359" hidden="1" customWidth="1"/>
    <col min="27" max="27" width="14.8515625" style="1359" hidden="1" customWidth="1"/>
    <col min="28" max="28" width="13.140625" style="1359" hidden="1" customWidth="1"/>
    <col min="29" max="29" width="14.8515625" style="1359" hidden="1" customWidth="1"/>
    <col min="30" max="30" width="15.140625" style="1359" hidden="1" customWidth="1"/>
    <col min="31" max="34" width="13.140625" style="1359" hidden="1" customWidth="1"/>
    <col min="35" max="35" width="2.00390625" style="875" customWidth="1"/>
    <col min="36" max="36" width="75.8515625" style="1253" bestFit="1" customWidth="1"/>
    <col min="37" max="37" width="18.140625" style="1253" hidden="1" customWidth="1"/>
    <col min="38" max="38" width="14.7109375" style="1300" bestFit="1" customWidth="1"/>
    <col min="39" max="39" width="14.7109375" style="1300" hidden="1" customWidth="1"/>
    <col min="40" max="40" width="13.140625" style="1302" customWidth="1"/>
    <col min="41" max="42" width="0" style="875" hidden="1" customWidth="1"/>
    <col min="43" max="43" width="12.8515625" style="1302" hidden="1" customWidth="1"/>
    <col min="44" max="44" width="19.8515625" style="1300" customWidth="1"/>
    <col min="45" max="45" width="18.8515625" style="1300" hidden="1" customWidth="1"/>
    <col min="46" max="46" width="1.1484375" style="1300" hidden="1" customWidth="1"/>
    <col min="47" max="47" width="5.8515625" style="1304" customWidth="1"/>
    <col min="48" max="50" width="0" style="875" hidden="1" customWidth="1"/>
    <col min="51" max="51" width="14.7109375" style="875" bestFit="1" customWidth="1"/>
    <col min="52" max="16384" width="9.140625" style="875" customWidth="1"/>
  </cols>
  <sheetData>
    <row r="1" spans="1:145" ht="63.75" customHeight="1" thickBot="1">
      <c r="A1" s="964" t="s">
        <v>853</v>
      </c>
      <c r="B1" s="965" t="s">
        <v>1038</v>
      </c>
      <c r="C1" s="965" t="s">
        <v>4</v>
      </c>
      <c r="D1" s="1148" t="s">
        <v>1041</v>
      </c>
      <c r="E1" s="966" t="s">
        <v>5</v>
      </c>
      <c r="F1" s="1159" t="s">
        <v>1043</v>
      </c>
      <c r="G1" s="967" t="s">
        <v>6</v>
      </c>
      <c r="H1" s="1132" t="s">
        <v>1044</v>
      </c>
      <c r="I1" s="967" t="s">
        <v>7</v>
      </c>
      <c r="J1" s="1132" t="s">
        <v>1045</v>
      </c>
      <c r="K1" s="967" t="s">
        <v>1897</v>
      </c>
      <c r="L1" s="1132" t="s">
        <v>1042</v>
      </c>
      <c r="M1" s="967" t="s">
        <v>1046</v>
      </c>
      <c r="N1" s="968" t="s">
        <v>9</v>
      </c>
      <c r="O1" s="969" t="s">
        <v>10</v>
      </c>
      <c r="P1" s="970" t="s">
        <v>1922</v>
      </c>
      <c r="Q1" s="970" t="s">
        <v>1923</v>
      </c>
      <c r="R1" s="965" t="s">
        <v>13</v>
      </c>
      <c r="S1" s="970" t="s">
        <v>127</v>
      </c>
      <c r="T1" s="970" t="s">
        <v>128</v>
      </c>
      <c r="U1" s="970" t="s">
        <v>129</v>
      </c>
      <c r="V1" s="970" t="s">
        <v>130</v>
      </c>
      <c r="W1" s="970" t="s">
        <v>131</v>
      </c>
      <c r="X1" s="971" t="s">
        <v>132</v>
      </c>
      <c r="Y1" s="970" t="s">
        <v>127</v>
      </c>
      <c r="Z1" s="970" t="s">
        <v>128</v>
      </c>
      <c r="AA1" s="970" t="s">
        <v>129</v>
      </c>
      <c r="AB1" s="970" t="s">
        <v>130</v>
      </c>
      <c r="AC1" s="970" t="s">
        <v>131</v>
      </c>
      <c r="AD1" s="970" t="s">
        <v>127</v>
      </c>
      <c r="AE1" s="970" t="s">
        <v>128</v>
      </c>
      <c r="AF1" s="970" t="s">
        <v>129</v>
      </c>
      <c r="AG1" s="970" t="s">
        <v>130</v>
      </c>
      <c r="AH1" s="970" t="s">
        <v>131</v>
      </c>
      <c r="AI1" s="972"/>
      <c r="AJ1" s="973" t="s">
        <v>852</v>
      </c>
      <c r="AK1" s="965" t="s">
        <v>1038</v>
      </c>
      <c r="AL1" s="974" t="s">
        <v>4</v>
      </c>
      <c r="AM1" s="1176" t="s">
        <v>1041</v>
      </c>
      <c r="AN1" s="966" t="s">
        <v>5</v>
      </c>
      <c r="AO1" s="975" t="s">
        <v>6</v>
      </c>
      <c r="AP1" s="967" t="s">
        <v>7</v>
      </c>
      <c r="AQ1" s="1208" t="s">
        <v>1043</v>
      </c>
      <c r="AR1" s="967" t="s">
        <v>1897</v>
      </c>
      <c r="AS1" s="1132" t="s">
        <v>1042</v>
      </c>
      <c r="AT1" s="967" t="s">
        <v>1046</v>
      </c>
      <c r="AU1" s="968" t="s">
        <v>9</v>
      </c>
      <c r="AV1" s="969" t="s">
        <v>10</v>
      </c>
      <c r="AW1" s="970" t="s">
        <v>11</v>
      </c>
      <c r="AX1" s="970" t="s">
        <v>12</v>
      </c>
      <c r="AY1" s="1279"/>
      <c r="AZ1" s="1279"/>
      <c r="BA1" s="1279"/>
      <c r="BB1" s="1279"/>
      <c r="BC1" s="1279"/>
      <c r="BD1" s="1279"/>
      <c r="BE1" s="1279"/>
      <c r="BF1" s="1279"/>
      <c r="BG1" s="1279"/>
      <c r="BH1" s="1279"/>
      <c r="BI1" s="1279"/>
      <c r="BJ1" s="1279"/>
      <c r="BK1" s="1279"/>
      <c r="BL1" s="1279"/>
      <c r="BM1" s="1279"/>
      <c r="BN1" s="1279"/>
      <c r="BO1" s="1279"/>
      <c r="BP1" s="1279"/>
      <c r="BQ1" s="1279"/>
      <c r="BR1" s="1279"/>
      <c r="BS1" s="1279"/>
      <c r="BT1" s="1279"/>
      <c r="BU1" s="1279"/>
      <c r="BV1" s="1279"/>
      <c r="BW1" s="1279"/>
      <c r="BX1" s="1279"/>
      <c r="BY1" s="1279"/>
      <c r="BZ1" s="1279"/>
      <c r="CA1" s="1279"/>
      <c r="CB1" s="1279"/>
      <c r="CC1" s="1279"/>
      <c r="CD1" s="1279"/>
      <c r="CE1" s="1279"/>
      <c r="CF1" s="1279"/>
      <c r="CG1" s="1279"/>
      <c r="CH1" s="1279"/>
      <c r="CI1" s="1279"/>
      <c r="CJ1" s="1279"/>
      <c r="CK1" s="1279"/>
      <c r="CL1" s="1279"/>
      <c r="CM1" s="1279"/>
      <c r="CN1" s="1279"/>
      <c r="CO1" s="1279"/>
      <c r="CP1" s="1279"/>
      <c r="CQ1" s="1279"/>
      <c r="CR1" s="1279"/>
      <c r="CS1" s="1279"/>
      <c r="CT1" s="1279"/>
      <c r="CU1" s="1279"/>
      <c r="CV1" s="1279"/>
      <c r="CW1" s="1279"/>
      <c r="CX1" s="1279"/>
      <c r="CY1" s="1279"/>
      <c r="CZ1" s="1279"/>
      <c r="DA1" s="1279"/>
      <c r="DB1" s="1279"/>
      <c r="DC1" s="1279"/>
      <c r="DD1" s="1279"/>
      <c r="DE1" s="1279"/>
      <c r="DF1" s="1279"/>
      <c r="DG1" s="1279"/>
      <c r="DH1" s="1279"/>
      <c r="DI1" s="1279"/>
      <c r="DJ1" s="1279"/>
      <c r="DK1" s="1279"/>
      <c r="DL1" s="1279"/>
      <c r="DM1" s="1279"/>
      <c r="DN1" s="1279"/>
      <c r="DO1" s="1279"/>
      <c r="DP1" s="1279"/>
      <c r="DQ1" s="1279"/>
      <c r="DR1" s="1279"/>
      <c r="DS1" s="1279"/>
      <c r="DT1" s="1279"/>
      <c r="DU1" s="1279"/>
      <c r="DV1" s="1279"/>
      <c r="DW1" s="1279"/>
      <c r="DX1" s="1279"/>
      <c r="DY1" s="1279"/>
      <c r="DZ1" s="1279"/>
      <c r="EA1" s="1279"/>
      <c r="EB1" s="1279"/>
      <c r="EC1" s="1279"/>
      <c r="ED1" s="1279"/>
      <c r="EE1" s="1279"/>
      <c r="EF1" s="1279"/>
      <c r="EG1" s="1279"/>
      <c r="EH1" s="1279"/>
      <c r="EI1" s="1279"/>
      <c r="EJ1" s="1279"/>
      <c r="EK1" s="1279"/>
      <c r="EL1" s="1279"/>
      <c r="EM1" s="1279"/>
      <c r="EN1" s="1279"/>
      <c r="EO1" s="1279"/>
    </row>
    <row r="2" spans="1:145" s="1280" customFormat="1" ht="25.5" thickBot="1" thickTop="1">
      <c r="A2" s="976" t="s">
        <v>14</v>
      </c>
      <c r="B2" s="976"/>
      <c r="C2" s="977"/>
      <c r="D2" s="1149"/>
      <c r="E2" s="978"/>
      <c r="F2" s="1160"/>
      <c r="G2" s="979"/>
      <c r="H2" s="1133"/>
      <c r="I2" s="979"/>
      <c r="J2" s="1133"/>
      <c r="K2" s="979"/>
      <c r="L2" s="1133"/>
      <c r="M2" s="979"/>
      <c r="N2" s="980"/>
      <c r="O2" s="980"/>
      <c r="P2" s="981"/>
      <c r="Q2" s="981"/>
      <c r="R2" s="982"/>
      <c r="S2" s="983"/>
      <c r="T2" s="983"/>
      <c r="U2" s="983"/>
      <c r="V2" s="983"/>
      <c r="W2" s="983"/>
      <c r="X2" s="984"/>
      <c r="Y2" s="984"/>
      <c r="Z2" s="984"/>
      <c r="AA2" s="984"/>
      <c r="AB2" s="984"/>
      <c r="AC2" s="984"/>
      <c r="AD2" s="984"/>
      <c r="AE2" s="984" t="s">
        <v>25</v>
      </c>
      <c r="AF2" s="984"/>
      <c r="AG2" s="984"/>
      <c r="AH2" s="984"/>
      <c r="AJ2" s="1281"/>
      <c r="AK2" s="1281"/>
      <c r="AL2" s="1282"/>
      <c r="AM2" s="1283"/>
      <c r="AN2" s="1284"/>
      <c r="AQ2" s="1285"/>
      <c r="AR2" s="1282"/>
      <c r="AS2" s="1283"/>
      <c r="AT2" s="1282"/>
      <c r="AU2" s="1286"/>
      <c r="AY2" s="1279"/>
      <c r="AZ2" s="1279"/>
      <c r="BA2" s="1279"/>
      <c r="BB2" s="1279"/>
      <c r="BC2" s="1279"/>
      <c r="BD2" s="1279"/>
      <c r="BE2" s="1279"/>
      <c r="BF2" s="1279"/>
      <c r="BG2" s="1279"/>
      <c r="BH2" s="1279"/>
      <c r="BI2" s="1279"/>
      <c r="BJ2" s="1279"/>
      <c r="BK2" s="1279"/>
      <c r="BL2" s="1279"/>
      <c r="BM2" s="1279"/>
      <c r="BN2" s="1279"/>
      <c r="BO2" s="1279"/>
      <c r="BP2" s="1279"/>
      <c r="BQ2" s="1279"/>
      <c r="BR2" s="1279"/>
      <c r="BS2" s="1279"/>
      <c r="BT2" s="1279"/>
      <c r="BU2" s="1279"/>
      <c r="BV2" s="1279"/>
      <c r="BW2" s="1279"/>
      <c r="BX2" s="1279"/>
      <c r="BY2" s="1279"/>
      <c r="BZ2" s="1279"/>
      <c r="CA2" s="1279"/>
      <c r="CB2" s="1279"/>
      <c r="CC2" s="1279"/>
      <c r="CD2" s="1279"/>
      <c r="CE2" s="1279"/>
      <c r="CF2" s="1279"/>
      <c r="CG2" s="1279"/>
      <c r="CH2" s="1279"/>
      <c r="CI2" s="1279"/>
      <c r="CJ2" s="1279"/>
      <c r="CK2" s="1279"/>
      <c r="CL2" s="1279"/>
      <c r="CM2" s="1279"/>
      <c r="CN2" s="1279"/>
      <c r="CO2" s="1279"/>
      <c r="CP2" s="1279"/>
      <c r="CQ2" s="1279"/>
      <c r="CR2" s="1279"/>
      <c r="CS2" s="1279"/>
      <c r="CT2" s="1279"/>
      <c r="CU2" s="1279"/>
      <c r="CV2" s="1279"/>
      <c r="CW2" s="1279"/>
      <c r="CX2" s="1279"/>
      <c r="CY2" s="1279"/>
      <c r="CZ2" s="1279"/>
      <c r="DA2" s="1279"/>
      <c r="DB2" s="1279"/>
      <c r="DC2" s="1279"/>
      <c r="DD2" s="1279"/>
      <c r="DE2" s="1279"/>
      <c r="DF2" s="1279"/>
      <c r="DG2" s="1279"/>
      <c r="DH2" s="1279"/>
      <c r="DI2" s="1279"/>
      <c r="DJ2" s="1279"/>
      <c r="DK2" s="1279"/>
      <c r="DL2" s="1279"/>
      <c r="DM2" s="1279"/>
      <c r="DN2" s="1279"/>
      <c r="DO2" s="1279"/>
      <c r="DP2" s="1279"/>
      <c r="DQ2" s="1279"/>
      <c r="DR2" s="1279"/>
      <c r="DS2" s="1279"/>
      <c r="DT2" s="1279"/>
      <c r="DU2" s="1279"/>
      <c r="DV2" s="1279"/>
      <c r="DW2" s="1279"/>
      <c r="DX2" s="1279"/>
      <c r="DY2" s="1279"/>
      <c r="DZ2" s="1279"/>
      <c r="EA2" s="1279"/>
      <c r="EB2" s="1279"/>
      <c r="EC2" s="1279"/>
      <c r="ED2" s="1279"/>
      <c r="EE2" s="1279"/>
      <c r="EF2" s="1279"/>
      <c r="EG2" s="1279"/>
      <c r="EH2" s="1279"/>
      <c r="EI2" s="1279"/>
      <c r="EJ2" s="1279"/>
      <c r="EK2" s="1279"/>
      <c r="EL2" s="1279"/>
      <c r="EM2" s="1279"/>
      <c r="EN2" s="1279"/>
      <c r="EO2" s="1279"/>
    </row>
    <row r="3" spans="1:145" s="1287" customFormat="1" ht="20.25" customHeight="1" thickTop="1">
      <c r="A3" s="985" t="s">
        <v>927</v>
      </c>
      <c r="B3" s="985"/>
      <c r="C3" s="986"/>
      <c r="D3" s="1150"/>
      <c r="E3" s="987"/>
      <c r="F3" s="1161"/>
      <c r="G3" s="988"/>
      <c r="H3" s="1134"/>
      <c r="I3" s="988"/>
      <c r="J3" s="1134"/>
      <c r="K3" s="988"/>
      <c r="L3" s="1134"/>
      <c r="M3" s="988"/>
      <c r="N3" s="989"/>
      <c r="O3" s="989"/>
      <c r="P3" s="990"/>
      <c r="Q3" s="990"/>
      <c r="R3" s="991"/>
      <c r="S3" s="990"/>
      <c r="T3" s="990"/>
      <c r="U3" s="990"/>
      <c r="V3" s="990"/>
      <c r="W3" s="990"/>
      <c r="X3" s="992"/>
      <c r="Y3" s="992"/>
      <c r="Z3" s="992"/>
      <c r="AA3" s="992"/>
      <c r="AB3" s="992"/>
      <c r="AC3" s="992"/>
      <c r="AD3" s="992"/>
      <c r="AE3" s="992"/>
      <c r="AF3" s="992"/>
      <c r="AG3" s="992"/>
      <c r="AH3" s="992"/>
      <c r="AJ3" s="1288"/>
      <c r="AK3" s="1288"/>
      <c r="AL3" s="1289"/>
      <c r="AM3" s="1290"/>
      <c r="AN3" s="1291"/>
      <c r="AQ3" s="1292"/>
      <c r="AR3" s="1289"/>
      <c r="AS3" s="1290"/>
      <c r="AT3" s="1289"/>
      <c r="AU3" s="1293"/>
      <c r="AY3" s="1279"/>
      <c r="AZ3" s="1279"/>
      <c r="BA3" s="1279"/>
      <c r="BB3" s="1279"/>
      <c r="BC3" s="1279"/>
      <c r="BD3" s="1279"/>
      <c r="BE3" s="1279"/>
      <c r="BF3" s="1279"/>
      <c r="BG3" s="1279"/>
      <c r="BH3" s="1279"/>
      <c r="BI3" s="1279"/>
      <c r="BJ3" s="1279"/>
      <c r="BK3" s="1279"/>
      <c r="BL3" s="1279"/>
      <c r="BM3" s="1279"/>
      <c r="BN3" s="1279"/>
      <c r="BO3" s="1279"/>
      <c r="BP3" s="1279"/>
      <c r="BQ3" s="1279"/>
      <c r="BR3" s="1279"/>
      <c r="BS3" s="1279"/>
      <c r="BT3" s="1279"/>
      <c r="BU3" s="1279"/>
      <c r="BV3" s="1279"/>
      <c r="BW3" s="1279"/>
      <c r="BX3" s="1279"/>
      <c r="BY3" s="1279"/>
      <c r="BZ3" s="1279"/>
      <c r="CA3" s="1279"/>
      <c r="CB3" s="1279"/>
      <c r="CC3" s="1279"/>
      <c r="CD3" s="1279"/>
      <c r="CE3" s="1279"/>
      <c r="CF3" s="1279"/>
      <c r="CG3" s="1279"/>
      <c r="CH3" s="1279"/>
      <c r="CI3" s="1279"/>
      <c r="CJ3" s="1279"/>
      <c r="CK3" s="1279"/>
      <c r="CL3" s="1279"/>
      <c r="CM3" s="1279"/>
      <c r="CN3" s="1279"/>
      <c r="CO3" s="1279"/>
      <c r="CP3" s="1279"/>
      <c r="CQ3" s="1279"/>
      <c r="CR3" s="1279"/>
      <c r="CS3" s="1279"/>
      <c r="CT3" s="1279"/>
      <c r="CU3" s="1279"/>
      <c r="CV3" s="1279"/>
      <c r="CW3" s="1279"/>
      <c r="CX3" s="1279"/>
      <c r="CY3" s="1279"/>
      <c r="CZ3" s="1279"/>
      <c r="DA3" s="1279"/>
      <c r="DB3" s="1279"/>
      <c r="DC3" s="1279"/>
      <c r="DD3" s="1279"/>
      <c r="DE3" s="1279"/>
      <c r="DF3" s="1279"/>
      <c r="DG3" s="1279"/>
      <c r="DH3" s="1279"/>
      <c r="DI3" s="1279"/>
      <c r="DJ3" s="1279"/>
      <c r="DK3" s="1279"/>
      <c r="DL3" s="1279"/>
      <c r="DM3" s="1279"/>
      <c r="DN3" s="1279"/>
      <c r="DO3" s="1279"/>
      <c r="DP3" s="1279"/>
      <c r="DQ3" s="1279"/>
      <c r="DR3" s="1279"/>
      <c r="DS3" s="1279"/>
      <c r="DT3" s="1279"/>
      <c r="DU3" s="1279"/>
      <c r="DV3" s="1279"/>
      <c r="DW3" s="1279"/>
      <c r="DX3" s="1279"/>
      <c r="DY3" s="1279"/>
      <c r="DZ3" s="1279"/>
      <c r="EA3" s="1279"/>
      <c r="EB3" s="1279"/>
      <c r="EC3" s="1279"/>
      <c r="ED3" s="1279"/>
      <c r="EE3" s="1279"/>
      <c r="EF3" s="1279"/>
      <c r="EG3" s="1279"/>
      <c r="EH3" s="1279"/>
      <c r="EI3" s="1279"/>
      <c r="EJ3" s="1279"/>
      <c r="EK3" s="1279"/>
      <c r="EL3" s="1279"/>
      <c r="EM3" s="1279"/>
      <c r="EN3" s="1279"/>
      <c r="EO3" s="1279"/>
    </row>
    <row r="4" spans="1:47" s="1279" customFormat="1" ht="19.5">
      <c r="A4" s="993" t="s">
        <v>16</v>
      </c>
      <c r="B4" s="993"/>
      <c r="C4" s="994"/>
      <c r="D4" s="1151"/>
      <c r="E4" s="995"/>
      <c r="F4" s="1162"/>
      <c r="G4" s="996"/>
      <c r="H4" s="1135"/>
      <c r="I4" s="996"/>
      <c r="J4" s="1135"/>
      <c r="K4" s="996"/>
      <c r="L4" s="1135"/>
      <c r="M4" s="996"/>
      <c r="N4" s="997"/>
      <c r="O4" s="997"/>
      <c r="P4" s="998"/>
      <c r="Q4" s="998"/>
      <c r="R4" s="999"/>
      <c r="S4" s="998"/>
      <c r="T4" s="998"/>
      <c r="U4" s="998"/>
      <c r="V4" s="998"/>
      <c r="W4" s="998"/>
      <c r="X4" s="1000"/>
      <c r="Y4" s="1000"/>
      <c r="Z4" s="1000"/>
      <c r="AA4" s="1000"/>
      <c r="AB4" s="1000"/>
      <c r="AC4" s="1000"/>
      <c r="AD4" s="1000"/>
      <c r="AE4" s="1000"/>
      <c r="AF4" s="1000"/>
      <c r="AG4" s="1000"/>
      <c r="AH4" s="1000"/>
      <c r="AJ4" s="1294"/>
      <c r="AK4" s="1294"/>
      <c r="AL4" s="1295"/>
      <c r="AM4" s="1296"/>
      <c r="AN4" s="1297"/>
      <c r="AQ4" s="1298"/>
      <c r="AR4" s="1295"/>
      <c r="AS4" s="1296"/>
      <c r="AT4" s="1295"/>
      <c r="AU4" s="1299"/>
    </row>
    <row r="5" spans="1:145" ht="15">
      <c r="A5" s="1011" t="s">
        <v>1678</v>
      </c>
      <c r="B5" s="1028">
        <v>114</v>
      </c>
      <c r="C5" s="645">
        <f>'Line Item Descriptions'!F5</f>
        <v>673.90625</v>
      </c>
      <c r="D5" s="1218">
        <v>988</v>
      </c>
      <c r="E5" s="1001">
        <f>'Reference Data'!$E$36</f>
        <v>197725.68766666666</v>
      </c>
      <c r="F5" s="1219">
        <v>95727.33333333333</v>
      </c>
      <c r="G5" s="1002">
        <f>(Hardware!B21*E5)/N5</f>
        <v>4729984.014077617</v>
      </c>
      <c r="H5" s="1136">
        <v>7090284.261666666</v>
      </c>
      <c r="I5" s="1003">
        <f aca="true" t="shared" si="0" ref="I5:I12">K5/E5</f>
        <v>134.78125</v>
      </c>
      <c r="J5" s="1138">
        <v>164.66666666666666</v>
      </c>
      <c r="K5" s="1002">
        <f>P5/N5</f>
        <v>26649715.340822916</v>
      </c>
      <c r="L5" s="1136">
        <v>15763100.888888888</v>
      </c>
      <c r="M5" s="1002">
        <f>'TAR Numbers'!B10+'TAR Numbers'!C10</f>
        <v>20522149.529999997</v>
      </c>
      <c r="N5" s="1004">
        <v>5</v>
      </c>
      <c r="O5" s="1005">
        <v>0</v>
      </c>
      <c r="P5" s="1370">
        <f>(C5*E5)</f>
        <v>133248576.70411459</v>
      </c>
      <c r="Q5" s="1006">
        <f>(P5)-(O5*3)</f>
        <v>133248576.70411459</v>
      </c>
      <c r="R5" s="1007" t="s">
        <v>1912</v>
      </c>
      <c r="S5" s="1006">
        <f aca="true" t="shared" si="1" ref="S5:S12">IF($R5="S/L or L",$P5,0)</f>
        <v>0</v>
      </c>
      <c r="T5" s="1006">
        <f aca="true" t="shared" si="2" ref="T5:T12">IF($R5="L",$P5,0)</f>
        <v>0</v>
      </c>
      <c r="U5" s="1006">
        <f aca="true" t="shared" si="3" ref="U5:U12">IF($R5="S",$P5,0)</f>
        <v>0</v>
      </c>
      <c r="V5" s="1006">
        <f aca="true" t="shared" si="4" ref="V5:V12">IF($R5="F",$P5,0)</f>
        <v>0</v>
      </c>
      <c r="W5" s="1006">
        <f aca="true" t="shared" si="5" ref="W5:W12">SUM(S5:V5)</f>
        <v>0</v>
      </c>
      <c r="X5" s="1008" t="s">
        <v>133</v>
      </c>
      <c r="Y5" s="1006">
        <f aca="true" t="shared" si="6" ref="Y5:Y12">IF($R5="S/L or L",$K5,0)</f>
        <v>0</v>
      </c>
      <c r="Z5" s="1006">
        <f aca="true" t="shared" si="7" ref="Z5:Z12">IF($R5="L",$K5,0)</f>
        <v>0</v>
      </c>
      <c r="AA5" s="1006">
        <f aca="true" t="shared" si="8" ref="AA5:AA12">IF($R5="S",$K5,0)</f>
        <v>0</v>
      </c>
      <c r="AB5" s="1006">
        <f aca="true" t="shared" si="9" ref="AB5:AB12">IF($R5="F",$K5,0)</f>
        <v>0</v>
      </c>
      <c r="AC5" s="1009">
        <f aca="true" t="shared" si="10" ref="AC5:AC12">SUM(Y5:AB5)</f>
        <v>0</v>
      </c>
      <c r="AD5" s="1006">
        <f aca="true" t="shared" si="11" ref="AD5:AD12">IF($R5="S/L or L",$O5,0)</f>
        <v>0</v>
      </c>
      <c r="AE5" s="1006">
        <f aca="true" t="shared" si="12" ref="AE5:AE12">IF($R5="L",$O5,0)</f>
        <v>0</v>
      </c>
      <c r="AF5" s="1006">
        <f aca="true" t="shared" si="13" ref="AF5:AF12">IF($R5="S",$O5,0)</f>
        <v>0</v>
      </c>
      <c r="AG5" s="1006">
        <f aca="true" t="shared" si="14" ref="AG5:AG12">IF($R5="F",$O5,0)</f>
        <v>0</v>
      </c>
      <c r="AH5" s="1009">
        <f aca="true" t="shared" si="15" ref="AH5:AH12">SUM(AD5:AG5)</f>
        <v>0</v>
      </c>
      <c r="AM5" s="1301"/>
      <c r="AQ5" s="1303"/>
      <c r="AS5" s="1301"/>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1279"/>
      <c r="DG5" s="1279"/>
      <c r="DH5" s="1279"/>
      <c r="DI5" s="1279"/>
      <c r="DJ5" s="1279"/>
      <c r="DK5" s="1279"/>
      <c r="DL5" s="1279"/>
      <c r="DM5" s="1279"/>
      <c r="DN5" s="1279"/>
      <c r="DO5" s="1279"/>
      <c r="DP5" s="1279"/>
      <c r="DQ5" s="1279"/>
      <c r="DR5" s="1279"/>
      <c r="DS5" s="1279"/>
      <c r="DT5" s="1279"/>
      <c r="DU5" s="1279"/>
      <c r="DV5" s="1279"/>
      <c r="DW5" s="1279"/>
      <c r="DX5" s="1279"/>
      <c r="DY5" s="1279"/>
      <c r="DZ5" s="1279"/>
      <c r="EA5" s="1279"/>
      <c r="EB5" s="1279"/>
      <c r="EC5" s="1279"/>
      <c r="ED5" s="1279"/>
      <c r="EE5" s="1279"/>
      <c r="EF5" s="1279"/>
      <c r="EG5" s="1279"/>
      <c r="EH5" s="1279"/>
      <c r="EI5" s="1279"/>
      <c r="EJ5" s="1279"/>
      <c r="EK5" s="1279"/>
      <c r="EL5" s="1279"/>
      <c r="EM5" s="1279"/>
      <c r="EN5" s="1279"/>
      <c r="EO5" s="1279"/>
    </row>
    <row r="6" spans="1:145" s="1010" customFormat="1" ht="15">
      <c r="A6" s="1011"/>
      <c r="B6" s="1028"/>
      <c r="C6" s="645"/>
      <c r="D6" s="1218"/>
      <c r="E6" s="1001"/>
      <c r="F6" s="1219"/>
      <c r="G6" s="1002"/>
      <c r="H6" s="1136"/>
      <c r="I6" s="1003"/>
      <c r="J6" s="1138"/>
      <c r="K6" s="1002"/>
      <c r="L6" s="1136"/>
      <c r="M6" s="1002"/>
      <c r="N6" s="1004"/>
      <c r="O6" s="1005"/>
      <c r="P6" s="1006"/>
      <c r="Q6" s="1006"/>
      <c r="R6" s="1007"/>
      <c r="S6" s="1006"/>
      <c r="T6" s="1006"/>
      <c r="U6" s="1006"/>
      <c r="V6" s="1006"/>
      <c r="W6" s="1006"/>
      <c r="X6" s="1008"/>
      <c r="Y6" s="1006"/>
      <c r="Z6" s="1006"/>
      <c r="AA6" s="1006"/>
      <c r="AB6" s="1006"/>
      <c r="AC6" s="1009"/>
      <c r="AD6" s="1006"/>
      <c r="AE6" s="1006"/>
      <c r="AF6" s="1006"/>
      <c r="AG6" s="1006"/>
      <c r="AH6" s="1009"/>
      <c r="AJ6" s="1011" t="s">
        <v>1677</v>
      </c>
      <c r="AK6" s="1011">
        <v>120</v>
      </c>
      <c r="AL6" s="863">
        <f>C5</f>
        <v>673.90625</v>
      </c>
      <c r="AM6" s="1177">
        <v>988</v>
      </c>
      <c r="AN6" s="1012">
        <f>(Number_of_Students-'Complete Budget Sheet'!E5)</f>
        <v>395451.3753333333</v>
      </c>
      <c r="AQ6" s="1209">
        <v>319092</v>
      </c>
      <c r="AR6" s="863">
        <f>SUM(AL6/AU6)*AN6</f>
        <v>53299430.681645826</v>
      </c>
      <c r="AS6" s="1177">
        <v>52543816</v>
      </c>
      <c r="AT6" s="863"/>
      <c r="AU6" s="1007">
        <v>5</v>
      </c>
      <c r="AY6" s="994"/>
      <c r="AZ6" s="994"/>
      <c r="BA6" s="994"/>
      <c r="BB6" s="994"/>
      <c r="BC6" s="994"/>
      <c r="BD6" s="994"/>
      <c r="BE6" s="994"/>
      <c r="BF6" s="994"/>
      <c r="BG6" s="994"/>
      <c r="BH6" s="994"/>
      <c r="BI6" s="994"/>
      <c r="BJ6" s="994"/>
      <c r="BK6" s="994"/>
      <c r="BL6" s="994"/>
      <c r="BM6" s="994"/>
      <c r="BN6" s="994"/>
      <c r="BO6" s="994"/>
      <c r="BP6" s="994"/>
      <c r="BQ6" s="994"/>
      <c r="BR6" s="994"/>
      <c r="BS6" s="994"/>
      <c r="BT6" s="994"/>
      <c r="BU6" s="994"/>
      <c r="BV6" s="994"/>
      <c r="BW6" s="994"/>
      <c r="BX6" s="994"/>
      <c r="BY6" s="994"/>
      <c r="BZ6" s="994"/>
      <c r="CA6" s="994"/>
      <c r="CB6" s="994"/>
      <c r="CC6" s="994"/>
      <c r="CD6" s="994"/>
      <c r="CE6" s="994"/>
      <c r="CF6" s="994"/>
      <c r="CG6" s="994"/>
      <c r="CH6" s="994"/>
      <c r="CI6" s="994"/>
      <c r="CJ6" s="994"/>
      <c r="CK6" s="994"/>
      <c r="CL6" s="994"/>
      <c r="CM6" s="994"/>
      <c r="CN6" s="994"/>
      <c r="CO6" s="994"/>
      <c r="CP6" s="994"/>
      <c r="CQ6" s="994"/>
      <c r="CR6" s="994"/>
      <c r="CS6" s="994"/>
      <c r="CT6" s="994"/>
      <c r="CU6" s="994"/>
      <c r="CV6" s="994"/>
      <c r="CW6" s="994"/>
      <c r="CX6" s="994"/>
      <c r="CY6" s="994"/>
      <c r="CZ6" s="994"/>
      <c r="DA6" s="994"/>
      <c r="DB6" s="994"/>
      <c r="DC6" s="994"/>
      <c r="DD6" s="994"/>
      <c r="DE6" s="994"/>
      <c r="DF6" s="994"/>
      <c r="DG6" s="994"/>
      <c r="DH6" s="994"/>
      <c r="DI6" s="994"/>
      <c r="DJ6" s="994"/>
      <c r="DK6" s="994"/>
      <c r="DL6" s="994"/>
      <c r="DM6" s="994"/>
      <c r="DN6" s="994"/>
      <c r="DO6" s="994"/>
      <c r="DP6" s="994"/>
      <c r="DQ6" s="994"/>
      <c r="DR6" s="994"/>
      <c r="DS6" s="994"/>
      <c r="DT6" s="994"/>
      <c r="DU6" s="994"/>
      <c r="DV6" s="994"/>
      <c r="DW6" s="994"/>
      <c r="DX6" s="994"/>
      <c r="DY6" s="994"/>
      <c r="DZ6" s="994"/>
      <c r="EA6" s="994"/>
      <c r="EB6" s="994"/>
      <c r="EC6" s="994"/>
      <c r="ED6" s="994"/>
      <c r="EE6" s="994"/>
      <c r="EF6" s="994"/>
      <c r="EG6" s="994"/>
      <c r="EH6" s="994"/>
      <c r="EI6" s="994"/>
      <c r="EJ6" s="994"/>
      <c r="EK6" s="994"/>
      <c r="EL6" s="994"/>
      <c r="EM6" s="994"/>
      <c r="EN6" s="994"/>
      <c r="EO6" s="994"/>
    </row>
    <row r="7" spans="1:145" ht="15">
      <c r="A7" s="1011"/>
      <c r="B7" s="1028"/>
      <c r="C7" s="645"/>
      <c r="D7" s="1218"/>
      <c r="F7" s="1219"/>
      <c r="G7" s="1002"/>
      <c r="H7" s="1136"/>
      <c r="I7" s="1003"/>
      <c r="J7" s="1138"/>
      <c r="K7" s="1002"/>
      <c r="L7" s="1136"/>
      <c r="M7" s="1002"/>
      <c r="N7" s="1004"/>
      <c r="O7" s="1005"/>
      <c r="P7" s="1006"/>
      <c r="Q7" s="1006"/>
      <c r="R7" s="1007"/>
      <c r="S7" s="1006">
        <f t="shared" si="1"/>
        <v>0</v>
      </c>
      <c r="T7" s="1006">
        <f t="shared" si="2"/>
        <v>0</v>
      </c>
      <c r="U7" s="1006">
        <f t="shared" si="3"/>
        <v>0</v>
      </c>
      <c r="V7" s="1006">
        <f t="shared" si="4"/>
        <v>0</v>
      </c>
      <c r="W7" s="1006">
        <f t="shared" si="5"/>
        <v>0</v>
      </c>
      <c r="X7" s="1008" t="s">
        <v>25</v>
      </c>
      <c r="Y7" s="1006">
        <f t="shared" si="6"/>
        <v>0</v>
      </c>
      <c r="Z7" s="1006">
        <f t="shared" si="7"/>
        <v>0</v>
      </c>
      <c r="AA7" s="1006">
        <f t="shared" si="8"/>
        <v>0</v>
      </c>
      <c r="AB7" s="1006">
        <f t="shared" si="9"/>
        <v>0</v>
      </c>
      <c r="AC7" s="1009">
        <f t="shared" si="10"/>
        <v>0</v>
      </c>
      <c r="AD7" s="1006">
        <f t="shared" si="11"/>
        <v>0</v>
      </c>
      <c r="AE7" s="1006">
        <f t="shared" si="12"/>
        <v>0</v>
      </c>
      <c r="AF7" s="1006">
        <f t="shared" si="13"/>
        <v>0</v>
      </c>
      <c r="AG7" s="1006">
        <f t="shared" si="14"/>
        <v>0</v>
      </c>
      <c r="AH7" s="1009">
        <f t="shared" si="15"/>
        <v>0</v>
      </c>
      <c r="AJ7" s="1253" t="s">
        <v>19</v>
      </c>
      <c r="AK7" s="1253">
        <v>115</v>
      </c>
      <c r="AL7" s="1300">
        <f>(AT7*6)/Number_of_Schools</f>
        <v>1739.5957097032876</v>
      </c>
      <c r="AM7" s="1301">
        <v>100</v>
      </c>
      <c r="AN7" s="1302">
        <f>Number_of_Schools</f>
        <v>1247</v>
      </c>
      <c r="AO7" s="875">
        <v>18133</v>
      </c>
      <c r="AQ7" s="1303">
        <v>18133</v>
      </c>
      <c r="AR7" s="863">
        <f>SUM(AL7/AU7)*AN7</f>
        <v>361545.9749999999</v>
      </c>
      <c r="AS7" s="1301">
        <v>302216.6666666667</v>
      </c>
      <c r="AT7" s="1300">
        <v>361545.975</v>
      </c>
      <c r="AU7" s="1304">
        <v>6</v>
      </c>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1279"/>
      <c r="DG7" s="1279"/>
      <c r="DH7" s="1279"/>
      <c r="DI7" s="1279"/>
      <c r="DJ7" s="1279"/>
      <c r="DK7" s="1279"/>
      <c r="DL7" s="1279"/>
      <c r="DM7" s="1279"/>
      <c r="DN7" s="1279"/>
      <c r="DO7" s="1279"/>
      <c r="DP7" s="1279"/>
      <c r="DQ7" s="1279"/>
      <c r="DR7" s="1279"/>
      <c r="DS7" s="1279"/>
      <c r="DT7" s="1279"/>
      <c r="DU7" s="1279"/>
      <c r="DV7" s="1279"/>
      <c r="DW7" s="1279"/>
      <c r="DX7" s="1279"/>
      <c r="DY7" s="1279"/>
      <c r="DZ7" s="1279"/>
      <c r="EA7" s="1279"/>
      <c r="EB7" s="1279"/>
      <c r="EC7" s="1279"/>
      <c r="ED7" s="1279"/>
      <c r="EE7" s="1279"/>
      <c r="EF7" s="1279"/>
      <c r="EG7" s="1279"/>
      <c r="EH7" s="1279"/>
      <c r="EI7" s="1279"/>
      <c r="EJ7" s="1279"/>
      <c r="EK7" s="1279"/>
      <c r="EL7" s="1279"/>
      <c r="EM7" s="1279"/>
      <c r="EN7" s="1279"/>
      <c r="EO7" s="1279"/>
    </row>
    <row r="8" spans="1:145" ht="14.25" customHeight="1">
      <c r="A8" s="1011" t="s">
        <v>20</v>
      </c>
      <c r="B8" s="1028">
        <v>116</v>
      </c>
      <c r="C8" s="645">
        <f>'Line Item Descriptions'!F8</f>
        <v>962.90625</v>
      </c>
      <c r="D8" s="1218">
        <v>1447</v>
      </c>
      <c r="E8" s="1013">
        <f>'Reference Data'!$B$4</f>
        <v>44088</v>
      </c>
      <c r="F8" s="1163">
        <v>42683</v>
      </c>
      <c r="G8" s="1003">
        <f>(Hardware!B22*E8)/N8</f>
        <v>1519715.5644</v>
      </c>
      <c r="H8" s="1138">
        <v>3286591</v>
      </c>
      <c r="I8" s="1003">
        <f t="shared" si="0"/>
        <v>160.484375</v>
      </c>
      <c r="J8" s="1138">
        <v>241.16666666666669</v>
      </c>
      <c r="K8" s="1002">
        <f>P8/BudgetYears</f>
        <v>7075435.125</v>
      </c>
      <c r="L8" s="1136">
        <v>10293716.833333334</v>
      </c>
      <c r="M8" s="1002">
        <f>'TAR Numbers'!H10+'TAR Numbers'!I10</f>
        <v>8752238.220000003</v>
      </c>
      <c r="N8" s="1014">
        <v>5</v>
      </c>
      <c r="O8" s="1015">
        <v>0</v>
      </c>
      <c r="P8" s="1370">
        <f>(C8*E8)</f>
        <v>42452610.75</v>
      </c>
      <c r="Q8" s="1006">
        <f>(P8)-(O8*3)</f>
        <v>42452610.75</v>
      </c>
      <c r="R8" s="1007" t="s">
        <v>18</v>
      </c>
      <c r="S8" s="1006">
        <f t="shared" si="1"/>
        <v>42452610.75</v>
      </c>
      <c r="T8" s="1006">
        <f t="shared" si="2"/>
        <v>0</v>
      </c>
      <c r="U8" s="1006">
        <f t="shared" si="3"/>
        <v>0</v>
      </c>
      <c r="V8" s="1006">
        <f t="shared" si="4"/>
        <v>0</v>
      </c>
      <c r="W8" s="1006">
        <f t="shared" si="5"/>
        <v>42452610.75</v>
      </c>
      <c r="X8" s="1016" t="s">
        <v>25</v>
      </c>
      <c r="Y8" s="1006">
        <f t="shared" si="6"/>
        <v>7075435.125</v>
      </c>
      <c r="Z8" s="1006">
        <f t="shared" si="7"/>
        <v>0</v>
      </c>
      <c r="AA8" s="1006">
        <f t="shared" si="8"/>
        <v>0</v>
      </c>
      <c r="AB8" s="1006">
        <f t="shared" si="9"/>
        <v>0</v>
      </c>
      <c r="AC8" s="1009">
        <f t="shared" si="10"/>
        <v>7075435.125</v>
      </c>
      <c r="AD8" s="1006">
        <f t="shared" si="11"/>
        <v>0</v>
      </c>
      <c r="AE8" s="1006">
        <f t="shared" si="12"/>
        <v>0</v>
      </c>
      <c r="AF8" s="1006">
        <f t="shared" si="13"/>
        <v>0</v>
      </c>
      <c r="AG8" s="1006">
        <f t="shared" si="14"/>
        <v>0</v>
      </c>
      <c r="AH8" s="1009">
        <f t="shared" si="15"/>
        <v>0</v>
      </c>
      <c r="AJ8" s="1052" t="s">
        <v>1263</v>
      </c>
      <c r="AL8" s="1300">
        <f>(AT8*6)/Number_of_Schools</f>
        <v>1187.7685645549318</v>
      </c>
      <c r="AM8" s="1305"/>
      <c r="AN8" s="1302">
        <f>Number_of_Schools</f>
        <v>1247</v>
      </c>
      <c r="AQ8" s="1306"/>
      <c r="AR8" s="863">
        <f>SUM(AL8/AU8)*AN8</f>
        <v>246857.9</v>
      </c>
      <c r="AS8" s="1301"/>
      <c r="AT8" s="1300">
        <f>'TAR Numbers'!F10+'TAR Numbers'!G10</f>
        <v>246857.9</v>
      </c>
      <c r="AU8" s="1304">
        <v>6</v>
      </c>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1279"/>
      <c r="DG8" s="1279"/>
      <c r="DH8" s="1279"/>
      <c r="DI8" s="1279"/>
      <c r="DJ8" s="1279"/>
      <c r="DK8" s="1279"/>
      <c r="DL8" s="1279"/>
      <c r="DM8" s="1279"/>
      <c r="DN8" s="1279"/>
      <c r="DO8" s="1279"/>
      <c r="DP8" s="1279"/>
      <c r="DQ8" s="1279"/>
      <c r="DR8" s="1279"/>
      <c r="DS8" s="1279"/>
      <c r="DT8" s="1279"/>
      <c r="DU8" s="1279"/>
      <c r="DV8" s="1279"/>
      <c r="DW8" s="1279"/>
      <c r="DX8" s="1279"/>
      <c r="DY8" s="1279"/>
      <c r="DZ8" s="1279"/>
      <c r="EA8" s="1279"/>
      <c r="EB8" s="1279"/>
      <c r="EC8" s="1279"/>
      <c r="ED8" s="1279"/>
      <c r="EE8" s="1279"/>
      <c r="EF8" s="1279"/>
      <c r="EG8" s="1279"/>
      <c r="EH8" s="1279"/>
      <c r="EI8" s="1279"/>
      <c r="EJ8" s="1279"/>
      <c r="EK8" s="1279"/>
      <c r="EL8" s="1279"/>
      <c r="EM8" s="1279"/>
      <c r="EN8" s="1279"/>
      <c r="EO8" s="1279"/>
    </row>
    <row r="9" spans="1:145" ht="30.75" hidden="1">
      <c r="A9" s="1018" t="s">
        <v>741</v>
      </c>
      <c r="B9" s="1018" t="s">
        <v>771</v>
      </c>
      <c r="C9" s="645">
        <v>0</v>
      </c>
      <c r="D9" s="1218">
        <v>0</v>
      </c>
      <c r="E9" s="1013">
        <f>'Reference Data'!B91</f>
        <v>44088</v>
      </c>
      <c r="F9" s="1163">
        <v>42683</v>
      </c>
      <c r="H9" s="1138"/>
      <c r="I9" s="1003">
        <f t="shared" si="0"/>
        <v>0</v>
      </c>
      <c r="J9" s="1138">
        <v>0</v>
      </c>
      <c r="K9" s="1002">
        <v>0</v>
      </c>
      <c r="L9" s="1136">
        <v>0</v>
      </c>
      <c r="M9" s="1002"/>
      <c r="N9" s="1019"/>
      <c r="O9" s="1015">
        <v>0</v>
      </c>
      <c r="P9" s="1370">
        <v>0</v>
      </c>
      <c r="Q9" s="1006">
        <f>(P9)-(O9*3)</f>
        <v>0</v>
      </c>
      <c r="R9" s="1007" t="s">
        <v>18</v>
      </c>
      <c r="S9" s="1006">
        <f t="shared" si="1"/>
        <v>0</v>
      </c>
      <c r="T9" s="1006">
        <f t="shared" si="2"/>
        <v>0</v>
      </c>
      <c r="U9" s="1006">
        <f t="shared" si="3"/>
        <v>0</v>
      </c>
      <c r="V9" s="1006">
        <f t="shared" si="4"/>
        <v>0</v>
      </c>
      <c r="W9" s="1006">
        <f t="shared" si="5"/>
        <v>0</v>
      </c>
      <c r="X9" s="1016" t="s">
        <v>25</v>
      </c>
      <c r="Y9" s="1006">
        <f t="shared" si="6"/>
        <v>0</v>
      </c>
      <c r="Z9" s="1006">
        <f t="shared" si="7"/>
        <v>0</v>
      </c>
      <c r="AA9" s="1006">
        <f t="shared" si="8"/>
        <v>0</v>
      </c>
      <c r="AB9" s="1006">
        <f t="shared" si="9"/>
        <v>0</v>
      </c>
      <c r="AC9" s="1009">
        <f t="shared" si="10"/>
        <v>0</v>
      </c>
      <c r="AD9" s="1006">
        <f t="shared" si="11"/>
        <v>0</v>
      </c>
      <c r="AE9" s="1006">
        <f t="shared" si="12"/>
        <v>0</v>
      </c>
      <c r="AF9" s="1006">
        <f t="shared" si="13"/>
        <v>0</v>
      </c>
      <c r="AG9" s="1006">
        <f t="shared" si="14"/>
        <v>0</v>
      </c>
      <c r="AH9" s="1009">
        <f t="shared" si="15"/>
        <v>0</v>
      </c>
      <c r="AM9" s="1301"/>
      <c r="AQ9" s="1303"/>
      <c r="AS9" s="1301"/>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1279"/>
      <c r="DG9" s="1279"/>
      <c r="DH9" s="1279"/>
      <c r="DI9" s="1279"/>
      <c r="DJ9" s="1279"/>
      <c r="DK9" s="1279"/>
      <c r="DL9" s="1279"/>
      <c r="DM9" s="1279"/>
      <c r="DN9" s="1279"/>
      <c r="DO9" s="1279"/>
      <c r="DP9" s="1279"/>
      <c r="DQ9" s="1279"/>
      <c r="DR9" s="1279"/>
      <c r="DS9" s="1279"/>
      <c r="DT9" s="1279"/>
      <c r="DU9" s="1279"/>
      <c r="DV9" s="1279"/>
      <c r="DW9" s="1279"/>
      <c r="DX9" s="1279"/>
      <c r="DY9" s="1279"/>
      <c r="DZ9" s="1279"/>
      <c r="EA9" s="1279"/>
      <c r="EB9" s="1279"/>
      <c r="EC9" s="1279"/>
      <c r="ED9" s="1279"/>
      <c r="EE9" s="1279"/>
      <c r="EF9" s="1279"/>
      <c r="EG9" s="1279"/>
      <c r="EH9" s="1279"/>
      <c r="EI9" s="1279"/>
      <c r="EJ9" s="1279"/>
      <c r="EK9" s="1279"/>
      <c r="EL9" s="1279"/>
      <c r="EM9" s="1279"/>
      <c r="EN9" s="1279"/>
      <c r="EO9" s="1279"/>
    </row>
    <row r="10" spans="1:145" ht="15">
      <c r="A10" s="1011" t="s">
        <v>21</v>
      </c>
      <c r="B10" s="1028">
        <v>38</v>
      </c>
      <c r="C10" s="645">
        <f>'Line Item Descriptions'!F9</f>
        <v>147.925</v>
      </c>
      <c r="D10" s="1218">
        <v>263</v>
      </c>
      <c r="E10" s="1013">
        <f>Number_of_Classrooms</f>
        <v>42939</v>
      </c>
      <c r="F10" s="1163">
        <v>37829</v>
      </c>
      <c r="G10" s="1003">
        <f>(Hardware!B33*E10)/N10</f>
        <v>330286.788</v>
      </c>
      <c r="H10" s="1138">
        <v>567435</v>
      </c>
      <c r="I10" s="1003">
        <f t="shared" si="0"/>
        <v>24.654166666666665</v>
      </c>
      <c r="J10" s="1138">
        <v>43.833333333333336</v>
      </c>
      <c r="K10" s="1002">
        <f>P10/BudgetYears</f>
        <v>1058625.2625</v>
      </c>
      <c r="L10" s="1136">
        <v>1658171.1666666667</v>
      </c>
      <c r="M10" s="1002">
        <f>'TAR Numbers'!J10+'TAR Numbers'!K10</f>
        <v>900760.7100000001</v>
      </c>
      <c r="N10" s="1014">
        <v>5</v>
      </c>
      <c r="O10" s="1015">
        <v>0</v>
      </c>
      <c r="P10" s="1370">
        <f>(C10*E10)</f>
        <v>6351751.575</v>
      </c>
      <c r="Q10" s="1006">
        <f>(P10)-(O10*3)</f>
        <v>6351751.575</v>
      </c>
      <c r="R10" s="1007" t="s">
        <v>18</v>
      </c>
      <c r="S10" s="1006">
        <f t="shared" si="1"/>
        <v>6351751.575</v>
      </c>
      <c r="T10" s="1006">
        <f t="shared" si="2"/>
        <v>0</v>
      </c>
      <c r="U10" s="1006">
        <f t="shared" si="3"/>
        <v>0</v>
      </c>
      <c r="V10" s="1006">
        <f t="shared" si="4"/>
        <v>0</v>
      </c>
      <c r="W10" s="1006">
        <f t="shared" si="5"/>
        <v>6351751.575</v>
      </c>
      <c r="X10" s="1016" t="s">
        <v>25</v>
      </c>
      <c r="Y10" s="1006">
        <f t="shared" si="6"/>
        <v>1058625.2625</v>
      </c>
      <c r="Z10" s="1006">
        <f t="shared" si="7"/>
        <v>0</v>
      </c>
      <c r="AA10" s="1006">
        <f t="shared" si="8"/>
        <v>0</v>
      </c>
      <c r="AB10" s="1006">
        <f t="shared" si="9"/>
        <v>0</v>
      </c>
      <c r="AC10" s="1009">
        <f t="shared" si="10"/>
        <v>1058625.2625</v>
      </c>
      <c r="AD10" s="1006">
        <f t="shared" si="11"/>
        <v>0</v>
      </c>
      <c r="AE10" s="1006">
        <f t="shared" si="12"/>
        <v>0</v>
      </c>
      <c r="AF10" s="1006">
        <f t="shared" si="13"/>
        <v>0</v>
      </c>
      <c r="AG10" s="1006">
        <f t="shared" si="14"/>
        <v>0</v>
      </c>
      <c r="AH10" s="1009">
        <f t="shared" si="15"/>
        <v>0</v>
      </c>
      <c r="AJ10" s="1052" t="s">
        <v>1264</v>
      </c>
      <c r="AL10" s="1300">
        <f>(AT10*6)/Number_of_Schools</f>
        <v>5037.911788291902</v>
      </c>
      <c r="AM10" s="1301"/>
      <c r="AN10" s="1302">
        <f>Number_of_Schools</f>
        <v>1247</v>
      </c>
      <c r="AQ10" s="1303"/>
      <c r="AR10" s="863">
        <f>SUM(AL10/AU10)*AN10</f>
        <v>1047046.0000000002</v>
      </c>
      <c r="AS10" s="1301"/>
      <c r="AT10" s="1300">
        <f>'TAR Numbers'!AN10+'TAR Numbers'!AO10</f>
        <v>1047046.0000000001</v>
      </c>
      <c r="AU10" s="1304">
        <v>6</v>
      </c>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1279"/>
      <c r="DG10" s="1279"/>
      <c r="DH10" s="1279"/>
      <c r="DI10" s="1279"/>
      <c r="DJ10" s="1279"/>
      <c r="DK10" s="1279"/>
      <c r="DL10" s="1279"/>
      <c r="DM10" s="1279"/>
      <c r="DN10" s="1279"/>
      <c r="DO10" s="1279"/>
      <c r="DP10" s="1279"/>
      <c r="DQ10" s="1279"/>
      <c r="DR10" s="1279"/>
      <c r="DS10" s="1279"/>
      <c r="DT10" s="1279"/>
      <c r="DU10" s="1279"/>
      <c r="DV10" s="1279"/>
      <c r="DW10" s="1279"/>
      <c r="DX10" s="1279"/>
      <c r="DY10" s="1279"/>
      <c r="DZ10" s="1279"/>
      <c r="EA10" s="1279"/>
      <c r="EB10" s="1279"/>
      <c r="EC10" s="1279"/>
      <c r="ED10" s="1279"/>
      <c r="EE10" s="1279"/>
      <c r="EF10" s="1279"/>
      <c r="EG10" s="1279"/>
      <c r="EH10" s="1279"/>
      <c r="EI10" s="1279"/>
      <c r="EJ10" s="1279"/>
      <c r="EK10" s="1279"/>
      <c r="EL10" s="1279"/>
      <c r="EM10" s="1279"/>
      <c r="EN10" s="1279"/>
      <c r="EO10" s="1279"/>
    </row>
    <row r="11" spans="1:145" ht="15">
      <c r="A11" s="1011" t="s">
        <v>22</v>
      </c>
      <c r="B11" s="1028">
        <v>38</v>
      </c>
      <c r="C11" s="645">
        <f>'Line Item Descriptions'!F10</f>
        <v>386.565</v>
      </c>
      <c r="D11" s="1218">
        <v>892</v>
      </c>
      <c r="E11" s="1013">
        <v>1650</v>
      </c>
      <c r="F11" s="1163">
        <v>1650</v>
      </c>
      <c r="G11" s="1003">
        <f>(Hardware!B42*E11)/N11</f>
        <v>19433.7</v>
      </c>
      <c r="H11" s="1138">
        <v>221100</v>
      </c>
      <c r="I11" s="1003">
        <f t="shared" si="0"/>
        <v>64.4275</v>
      </c>
      <c r="J11" s="1138">
        <v>148.66666666666666</v>
      </c>
      <c r="K11" s="1002">
        <f>P11/BudgetYears</f>
        <v>106305.375</v>
      </c>
      <c r="L11" s="1136">
        <v>245300</v>
      </c>
      <c r="M11" s="1002">
        <f>'TAR Numbers'!L10+'TAR Numbers'!M10</f>
        <v>598143.5300000001</v>
      </c>
      <c r="N11" s="1014">
        <v>5</v>
      </c>
      <c r="O11" s="1015">
        <v>0</v>
      </c>
      <c r="P11" s="1370">
        <f>(C11*E11)</f>
        <v>637832.25</v>
      </c>
      <c r="Q11" s="1006">
        <f>(P11)-(O11*3)</f>
        <v>637832.25</v>
      </c>
      <c r="R11" s="1007" t="s">
        <v>18</v>
      </c>
      <c r="S11" s="1006">
        <f t="shared" si="1"/>
        <v>637832.25</v>
      </c>
      <c r="T11" s="1006">
        <f t="shared" si="2"/>
        <v>0</v>
      </c>
      <c r="U11" s="1006">
        <f t="shared" si="3"/>
        <v>0</v>
      </c>
      <c r="V11" s="1006">
        <f t="shared" si="4"/>
        <v>0</v>
      </c>
      <c r="W11" s="1006">
        <f t="shared" si="5"/>
        <v>637832.25</v>
      </c>
      <c r="X11" s="1016" t="s">
        <v>25</v>
      </c>
      <c r="Y11" s="1006">
        <f t="shared" si="6"/>
        <v>106305.375</v>
      </c>
      <c r="Z11" s="1006">
        <f t="shared" si="7"/>
        <v>0</v>
      </c>
      <c r="AA11" s="1006">
        <f t="shared" si="8"/>
        <v>0</v>
      </c>
      <c r="AB11" s="1006">
        <f t="shared" si="9"/>
        <v>0</v>
      </c>
      <c r="AC11" s="1009">
        <f t="shared" si="10"/>
        <v>106305.375</v>
      </c>
      <c r="AD11" s="1006">
        <f t="shared" si="11"/>
        <v>0</v>
      </c>
      <c r="AE11" s="1006">
        <f t="shared" si="12"/>
        <v>0</v>
      </c>
      <c r="AF11" s="1006">
        <f t="shared" si="13"/>
        <v>0</v>
      </c>
      <c r="AG11" s="1006">
        <f t="shared" si="14"/>
        <v>0</v>
      </c>
      <c r="AH11" s="1009">
        <f t="shared" si="15"/>
        <v>0</v>
      </c>
      <c r="AJ11" s="1052" t="s">
        <v>1265</v>
      </c>
      <c r="AL11" s="1300">
        <f>(AT11*6)/Number_of_Schools</f>
        <v>6050.319069767443</v>
      </c>
      <c r="AM11" s="1301"/>
      <c r="AN11" s="1302">
        <f>Number_of_Schools</f>
        <v>1247</v>
      </c>
      <c r="AQ11" s="1303"/>
      <c r="AR11" s="863">
        <f>SUM(AL11/AU11)*AN11</f>
        <v>1257457.9800000002</v>
      </c>
      <c r="AS11" s="1301"/>
      <c r="AT11" s="1300">
        <f>'TAR Numbers'!AP10+'TAR Numbers'!AQ10</f>
        <v>1257457.9800000002</v>
      </c>
      <c r="AU11" s="1304">
        <v>6</v>
      </c>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1279"/>
      <c r="DG11" s="1279"/>
      <c r="DH11" s="1279"/>
      <c r="DI11" s="1279"/>
      <c r="DJ11" s="1279"/>
      <c r="DK11" s="1279"/>
      <c r="DL11" s="1279"/>
      <c r="DM11" s="1279"/>
      <c r="DN11" s="1279"/>
      <c r="DO11" s="1279"/>
      <c r="DP11" s="1279"/>
      <c r="DQ11" s="1279"/>
      <c r="DR11" s="1279"/>
      <c r="DS11" s="1279"/>
      <c r="DT11" s="1279"/>
      <c r="DU11" s="1279"/>
      <c r="DV11" s="1279"/>
      <c r="DW11" s="1279"/>
      <c r="DX11" s="1279"/>
      <c r="DY11" s="1279"/>
      <c r="DZ11" s="1279"/>
      <c r="EA11" s="1279"/>
      <c r="EB11" s="1279"/>
      <c r="EC11" s="1279"/>
      <c r="ED11" s="1279"/>
      <c r="EE11" s="1279"/>
      <c r="EF11" s="1279"/>
      <c r="EG11" s="1279"/>
      <c r="EH11" s="1279"/>
      <c r="EI11" s="1279"/>
      <c r="EJ11" s="1279"/>
      <c r="EK11" s="1279"/>
      <c r="EL11" s="1279"/>
      <c r="EM11" s="1279"/>
      <c r="EN11" s="1279"/>
      <c r="EO11" s="1279"/>
    </row>
    <row r="12" spans="1:145" ht="15">
      <c r="A12" s="1011" t="s">
        <v>1315</v>
      </c>
      <c r="B12" s="1028">
        <v>76</v>
      </c>
      <c r="C12" s="645">
        <f>'Line Item Descriptions'!F11</f>
        <v>2402.3133333333335</v>
      </c>
      <c r="D12" s="1218">
        <v>4974</v>
      </c>
      <c r="E12" s="1013">
        <f>Number_of_Schools*2</f>
        <v>2494</v>
      </c>
      <c r="F12" s="1163">
        <v>3022</v>
      </c>
      <c r="G12" s="1003">
        <f>(Hardware!B52*E12)/N12</f>
        <v>185061.45066666667</v>
      </c>
      <c r="H12" s="1138">
        <v>613466</v>
      </c>
      <c r="I12" s="1003">
        <f t="shared" si="0"/>
        <v>400.3855555555556</v>
      </c>
      <c r="J12" s="1138">
        <v>829</v>
      </c>
      <c r="K12" s="1002">
        <f>P12/BudgetYears</f>
        <v>998561.5755555556</v>
      </c>
      <c r="L12" s="1136">
        <v>2505238</v>
      </c>
      <c r="M12" s="1002">
        <f>'TAR Numbers'!N10+'TAR Numbers'!O10</f>
        <v>587648.9649999999</v>
      </c>
      <c r="N12" s="1014">
        <v>5</v>
      </c>
      <c r="O12" s="1015">
        <f>(USFInternal)*K12</f>
        <v>698993.1028888889</v>
      </c>
      <c r="P12" s="1370">
        <f>(C12*E12)</f>
        <v>5991369.453333334</v>
      </c>
      <c r="Q12" s="1006">
        <f>(P12)-(O12*3)</f>
        <v>3894390.144666667</v>
      </c>
      <c r="R12" s="1007" t="s">
        <v>18</v>
      </c>
      <c r="S12" s="1006">
        <f t="shared" si="1"/>
        <v>5991369.453333334</v>
      </c>
      <c r="T12" s="1006">
        <f t="shared" si="2"/>
        <v>0</v>
      </c>
      <c r="U12" s="1006">
        <f t="shared" si="3"/>
        <v>0</v>
      </c>
      <c r="V12" s="1006">
        <f t="shared" si="4"/>
        <v>0</v>
      </c>
      <c r="W12" s="1006">
        <f t="shared" si="5"/>
        <v>5991369.453333334</v>
      </c>
      <c r="X12" s="1016" t="s">
        <v>25</v>
      </c>
      <c r="Y12" s="1006">
        <f t="shared" si="6"/>
        <v>998561.5755555556</v>
      </c>
      <c r="Z12" s="1006">
        <f t="shared" si="7"/>
        <v>0</v>
      </c>
      <c r="AA12" s="1006">
        <f t="shared" si="8"/>
        <v>0</v>
      </c>
      <c r="AB12" s="1006">
        <f t="shared" si="9"/>
        <v>0</v>
      </c>
      <c r="AC12" s="1009">
        <f t="shared" si="10"/>
        <v>998561.5755555556</v>
      </c>
      <c r="AD12" s="1006">
        <f t="shared" si="11"/>
        <v>698993.1028888889</v>
      </c>
      <c r="AE12" s="1006">
        <f t="shared" si="12"/>
        <v>0</v>
      </c>
      <c r="AF12" s="1006">
        <f t="shared" si="13"/>
        <v>0</v>
      </c>
      <c r="AG12" s="1006">
        <f t="shared" si="14"/>
        <v>0</v>
      </c>
      <c r="AH12" s="1009">
        <f t="shared" si="15"/>
        <v>698993.1028888889</v>
      </c>
      <c r="AM12" s="1301"/>
      <c r="AQ12" s="1303"/>
      <c r="AS12" s="1301"/>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1279"/>
      <c r="DG12" s="1279"/>
      <c r="DH12" s="1279"/>
      <c r="DI12" s="1279"/>
      <c r="DJ12" s="1279"/>
      <c r="DK12" s="1279"/>
      <c r="DL12" s="1279"/>
      <c r="DM12" s="1279"/>
      <c r="DN12" s="1279"/>
      <c r="DO12" s="1279"/>
      <c r="DP12" s="1279"/>
      <c r="DQ12" s="1279"/>
      <c r="DR12" s="1279"/>
      <c r="DS12" s="1279"/>
      <c r="DT12" s="1279"/>
      <c r="DU12" s="1279"/>
      <c r="DV12" s="1279"/>
      <c r="DW12" s="1279"/>
      <c r="DX12" s="1279"/>
      <c r="DY12" s="1279"/>
      <c r="DZ12" s="1279"/>
      <c r="EA12" s="1279"/>
      <c r="EB12" s="1279"/>
      <c r="EC12" s="1279"/>
      <c r="ED12" s="1279"/>
      <c r="EE12" s="1279"/>
      <c r="EF12" s="1279"/>
      <c r="EG12" s="1279"/>
      <c r="EH12" s="1279"/>
      <c r="EI12" s="1279"/>
      <c r="EJ12" s="1279"/>
      <c r="EK12" s="1279"/>
      <c r="EL12" s="1279"/>
      <c r="EM12" s="1279"/>
      <c r="EN12" s="1279"/>
      <c r="EO12" s="1279"/>
    </row>
    <row r="13" spans="1:145" s="1307" customFormat="1" ht="15">
      <c r="A13" s="1020" t="s">
        <v>24</v>
      </c>
      <c r="B13" s="1020"/>
      <c r="C13" s="1021" t="s">
        <v>25</v>
      </c>
      <c r="D13" s="1152" t="s">
        <v>25</v>
      </c>
      <c r="E13" s="1022"/>
      <c r="F13" s="1164"/>
      <c r="G13" s="1023">
        <f>SUM(G5:G12)</f>
        <v>6784481.517144284</v>
      </c>
      <c r="H13" s="1137">
        <v>11929984.594999999</v>
      </c>
      <c r="I13" s="1023"/>
      <c r="J13" s="1137"/>
      <c r="K13" s="1023">
        <f>SUM(K5:K12)</f>
        <v>35888642.67887848</v>
      </c>
      <c r="L13" s="1137">
        <v>30767743.555555556</v>
      </c>
      <c r="M13" s="1023">
        <f>SUM(M5:M12)</f>
        <v>31360940.955000002</v>
      </c>
      <c r="N13" s="1024"/>
      <c r="O13" s="1023">
        <f>SUM(O5:O12)</f>
        <v>698993.1028888889</v>
      </c>
      <c r="P13" s="1021">
        <f>SUM(P5:P12)</f>
        <v>188682140.73244792</v>
      </c>
      <c r="Q13" s="1021">
        <f>SUM(Q5:Q12)</f>
        <v>186585161.42378125</v>
      </c>
      <c r="R13" s="1025" t="s">
        <v>25</v>
      </c>
      <c r="S13" s="1021">
        <f aca="true" t="shared" si="16" ref="S13:AH13">SUM(S5:S12)</f>
        <v>55433564.028333336</v>
      </c>
      <c r="T13" s="1021">
        <f t="shared" si="16"/>
        <v>0</v>
      </c>
      <c r="U13" s="1021">
        <f t="shared" si="16"/>
        <v>0</v>
      </c>
      <c r="V13" s="1021">
        <f t="shared" si="16"/>
        <v>0</v>
      </c>
      <c r="W13" s="1021">
        <f t="shared" si="16"/>
        <v>55433564.028333336</v>
      </c>
      <c r="X13" s="1021">
        <f t="shared" si="16"/>
        <v>0</v>
      </c>
      <c r="Y13" s="1021">
        <f t="shared" si="16"/>
        <v>9238927.338055557</v>
      </c>
      <c r="Z13" s="1021">
        <f t="shared" si="16"/>
        <v>0</v>
      </c>
      <c r="AA13" s="1021">
        <f t="shared" si="16"/>
        <v>0</v>
      </c>
      <c r="AB13" s="1021">
        <f t="shared" si="16"/>
        <v>0</v>
      </c>
      <c r="AC13" s="1021">
        <f t="shared" si="16"/>
        <v>9238927.338055557</v>
      </c>
      <c r="AD13" s="1021">
        <f t="shared" si="16"/>
        <v>698993.1028888889</v>
      </c>
      <c r="AE13" s="1021">
        <f t="shared" si="16"/>
        <v>0</v>
      </c>
      <c r="AF13" s="1021">
        <f t="shared" si="16"/>
        <v>0</v>
      </c>
      <c r="AG13" s="1021">
        <f t="shared" si="16"/>
        <v>0</v>
      </c>
      <c r="AH13" s="1021">
        <f t="shared" si="16"/>
        <v>698993.1028888889</v>
      </c>
      <c r="AJ13" s="1308"/>
      <c r="AK13" s="1308"/>
      <c r="AL13" s="1235"/>
      <c r="AM13" s="1309"/>
      <c r="AN13" s="1310"/>
      <c r="AQ13" s="1311"/>
      <c r="AR13" s="1235"/>
      <c r="AS13" s="1309"/>
      <c r="AT13" s="1235"/>
      <c r="AU13" s="1312"/>
      <c r="AY13" s="1313"/>
      <c r="AZ13" s="1313"/>
      <c r="BA13" s="1313"/>
      <c r="BB13" s="1313"/>
      <c r="BC13" s="1313"/>
      <c r="BD13" s="1313"/>
      <c r="BE13" s="1313"/>
      <c r="BF13" s="1313"/>
      <c r="BG13" s="1313"/>
      <c r="BH13" s="1313"/>
      <c r="BI13" s="1313"/>
      <c r="BJ13" s="1313"/>
      <c r="BK13" s="1313"/>
      <c r="BL13" s="1313"/>
      <c r="BM13" s="1313"/>
      <c r="BN13" s="1313"/>
      <c r="BO13" s="1313"/>
      <c r="BP13" s="1313"/>
      <c r="BQ13" s="1313"/>
      <c r="BR13" s="1313"/>
      <c r="BS13" s="1313"/>
      <c r="BT13" s="1313"/>
      <c r="BU13" s="1313"/>
      <c r="BV13" s="1313"/>
      <c r="BW13" s="1313"/>
      <c r="BX13" s="1313"/>
      <c r="BY13" s="1313"/>
      <c r="BZ13" s="1313"/>
      <c r="CA13" s="1313"/>
      <c r="CB13" s="1313"/>
      <c r="CC13" s="1313"/>
      <c r="CD13" s="1313"/>
      <c r="CE13" s="1313"/>
      <c r="CF13" s="1313"/>
      <c r="CG13" s="1313"/>
      <c r="CH13" s="1313"/>
      <c r="CI13" s="1313"/>
      <c r="CJ13" s="1313"/>
      <c r="CK13" s="1313"/>
      <c r="CL13" s="1313"/>
      <c r="CM13" s="1313"/>
      <c r="CN13" s="1313"/>
      <c r="CO13" s="1313"/>
      <c r="CP13" s="1313"/>
      <c r="CQ13" s="1313"/>
      <c r="CR13" s="1313"/>
      <c r="CS13" s="1313"/>
      <c r="CT13" s="1313"/>
      <c r="CU13" s="1313"/>
      <c r="CV13" s="1313"/>
      <c r="CW13" s="1313"/>
      <c r="CX13" s="1313"/>
      <c r="CY13" s="1313"/>
      <c r="CZ13" s="1313"/>
      <c r="DA13" s="1313"/>
      <c r="DB13" s="1313"/>
      <c r="DC13" s="1313"/>
      <c r="DD13" s="1313"/>
      <c r="DE13" s="1313"/>
      <c r="DF13" s="1313"/>
      <c r="DG13" s="1313"/>
      <c r="DH13" s="1313"/>
      <c r="DI13" s="1313"/>
      <c r="DJ13" s="1313"/>
      <c r="DK13" s="1313"/>
      <c r="DL13" s="1313"/>
      <c r="DM13" s="1313"/>
      <c r="DN13" s="1313"/>
      <c r="DO13" s="1313"/>
      <c r="DP13" s="1313"/>
      <c r="DQ13" s="1313"/>
      <c r="DR13" s="1313"/>
      <c r="DS13" s="1313"/>
      <c r="DT13" s="1313"/>
      <c r="DU13" s="1313"/>
      <c r="DV13" s="1313"/>
      <c r="DW13" s="1313"/>
      <c r="DX13" s="1313"/>
      <c r="DY13" s="1313"/>
      <c r="DZ13" s="1313"/>
      <c r="EA13" s="1313"/>
      <c r="EB13" s="1313"/>
      <c r="EC13" s="1313"/>
      <c r="ED13" s="1313"/>
      <c r="EE13" s="1313"/>
      <c r="EF13" s="1313"/>
      <c r="EG13" s="1313"/>
      <c r="EH13" s="1313"/>
      <c r="EI13" s="1313"/>
      <c r="EJ13" s="1313"/>
      <c r="EK13" s="1313"/>
      <c r="EL13" s="1313"/>
      <c r="EM13" s="1313"/>
      <c r="EN13" s="1313"/>
      <c r="EO13" s="1313"/>
    </row>
    <row r="14" spans="1:145" ht="19.5">
      <c r="A14" s="1026" t="s">
        <v>26</v>
      </c>
      <c r="B14" s="1026"/>
      <c r="C14" s="645"/>
      <c r="D14" s="1218"/>
      <c r="F14" s="1219"/>
      <c r="H14" s="1138"/>
      <c r="I14" s="1003"/>
      <c r="J14" s="1138"/>
      <c r="K14" s="1003" t="s">
        <v>25</v>
      </c>
      <c r="L14" s="1138" t="s">
        <v>25</v>
      </c>
      <c r="M14" s="1003"/>
      <c r="N14" s="1027"/>
      <c r="O14" s="1027"/>
      <c r="P14" s="1006"/>
      <c r="Q14" s="1006"/>
      <c r="R14" s="1007"/>
      <c r="S14" s="1006"/>
      <c r="T14" s="1006"/>
      <c r="U14" s="1006"/>
      <c r="V14" s="1006"/>
      <c r="W14" s="1006"/>
      <c r="X14" s="1016"/>
      <c r="Y14" s="1016"/>
      <c r="Z14" s="1016"/>
      <c r="AA14" s="1016"/>
      <c r="AB14" s="1016"/>
      <c r="AC14" s="1016"/>
      <c r="AD14" s="1016"/>
      <c r="AE14" s="1016"/>
      <c r="AF14" s="1016"/>
      <c r="AG14" s="1016"/>
      <c r="AH14" s="1016"/>
      <c r="AM14" s="1301"/>
      <c r="AQ14" s="1303"/>
      <c r="AS14" s="1301"/>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1279"/>
      <c r="DG14" s="1279"/>
      <c r="DH14" s="1279"/>
      <c r="DI14" s="1279"/>
      <c r="DJ14" s="1279"/>
      <c r="DK14" s="1279"/>
      <c r="DL14" s="1279"/>
      <c r="DM14" s="1279"/>
      <c r="DN14" s="1279"/>
      <c r="DO14" s="1279"/>
      <c r="DP14" s="1279"/>
      <c r="DQ14" s="1279"/>
      <c r="DR14" s="1279"/>
      <c r="DS14" s="1279"/>
      <c r="DT14" s="1279"/>
      <c r="DU14" s="1279"/>
      <c r="DV14" s="1279"/>
      <c r="DW14" s="1279"/>
      <c r="DX14" s="1279"/>
      <c r="DY14" s="1279"/>
      <c r="DZ14" s="1279"/>
      <c r="EA14" s="1279"/>
      <c r="EB14" s="1279"/>
      <c r="EC14" s="1279"/>
      <c r="ED14" s="1279"/>
      <c r="EE14" s="1279"/>
      <c r="EF14" s="1279"/>
      <c r="EG14" s="1279"/>
      <c r="EH14" s="1279"/>
      <c r="EI14" s="1279"/>
      <c r="EJ14" s="1279"/>
      <c r="EK14" s="1279"/>
      <c r="EL14" s="1279"/>
      <c r="EM14" s="1279"/>
      <c r="EN14" s="1279"/>
      <c r="EO14" s="1279"/>
    </row>
    <row r="15" spans="1:145" ht="15">
      <c r="A15" s="1011" t="s">
        <v>27</v>
      </c>
      <c r="B15" s="1028">
        <v>117</v>
      </c>
      <c r="C15" s="645">
        <f>'Line Item Descriptions'!F14</f>
        <v>890</v>
      </c>
      <c r="D15" s="1218">
        <v>1204</v>
      </c>
      <c r="E15" s="1001">
        <f>(5*Number_of_Schools)</f>
        <v>6235</v>
      </c>
      <c r="F15" s="1219">
        <v>6964</v>
      </c>
      <c r="G15" s="1003">
        <f>(Hardware!B22*E15)/N15</f>
        <v>214920.76175</v>
      </c>
      <c r="H15" s="1138">
        <v>536228</v>
      </c>
      <c r="I15" s="1003">
        <f>K15/E15</f>
        <v>148.33333333333334</v>
      </c>
      <c r="J15" s="1138">
        <v>200.66666666666669</v>
      </c>
      <c r="K15" s="1002">
        <f>P15/BudgetYears</f>
        <v>924858.3333333334</v>
      </c>
      <c r="L15" s="1136">
        <v>1397442.6666666667</v>
      </c>
      <c r="M15" s="1002">
        <f>'TAR Numbers'!P10+'TAR Numbers'!Q10</f>
        <v>3037161.1900000004</v>
      </c>
      <c r="N15" s="1014">
        <v>5</v>
      </c>
      <c r="O15" s="1015">
        <v>0</v>
      </c>
      <c r="P15" s="1370">
        <f>(C15*E15)</f>
        <v>5549150</v>
      </c>
      <c r="Q15" s="1006">
        <f>(P15)-(O15*3)</f>
        <v>5549150</v>
      </c>
      <c r="R15" s="1007" t="s">
        <v>18</v>
      </c>
      <c r="S15" s="1006">
        <f>IF($R15="S/L or L",$P15,0)</f>
        <v>5549150</v>
      </c>
      <c r="T15" s="1006">
        <f>IF($R15="L",$P15,0)</f>
        <v>0</v>
      </c>
      <c r="U15" s="1006">
        <f>IF($R15="S",$P15,0)</f>
        <v>0</v>
      </c>
      <c r="V15" s="1006">
        <f>IF($R15="F",$P15,0)</f>
        <v>0</v>
      </c>
      <c r="W15" s="1006">
        <f>SUM(S15:V15)</f>
        <v>5549150</v>
      </c>
      <c r="X15" s="1016" t="s">
        <v>25</v>
      </c>
      <c r="Y15" s="1006">
        <f>IF($R15="S/L or L",$K15,0)</f>
        <v>924858.3333333334</v>
      </c>
      <c r="Z15" s="1006">
        <f>IF($R15="L",$K15,0)</f>
        <v>0</v>
      </c>
      <c r="AA15" s="1006">
        <f>IF($R15="S",$K15,0)</f>
        <v>0</v>
      </c>
      <c r="AB15" s="1006">
        <f>IF($R15="F",$K15,0)</f>
        <v>0</v>
      </c>
      <c r="AC15" s="1009">
        <f>SUM(Y15:AB15)</f>
        <v>924858.3333333334</v>
      </c>
      <c r="AD15" s="1006">
        <f>IF($R15="S/L or L",$O15,0)</f>
        <v>0</v>
      </c>
      <c r="AE15" s="1006">
        <f>IF($R15="L",$O15,0)</f>
        <v>0</v>
      </c>
      <c r="AF15" s="1006">
        <f>IF($R15="S",$O15,0)</f>
        <v>0</v>
      </c>
      <c r="AG15" s="1006">
        <f>IF($R15="F",$O15,0)</f>
        <v>0</v>
      </c>
      <c r="AH15" s="1009">
        <f>SUM(AD15:AG15)</f>
        <v>0</v>
      </c>
      <c r="AM15" s="1301"/>
      <c r="AQ15" s="1303"/>
      <c r="AS15" s="1301"/>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1279"/>
      <c r="DG15" s="1279"/>
      <c r="DH15" s="1279"/>
      <c r="DI15" s="1279"/>
      <c r="DJ15" s="1279"/>
      <c r="DK15" s="1279"/>
      <c r="DL15" s="1279"/>
      <c r="DM15" s="1279"/>
      <c r="DN15" s="1279"/>
      <c r="DO15" s="1279"/>
      <c r="DP15" s="1279"/>
      <c r="DQ15" s="1279"/>
      <c r="DR15" s="1279"/>
      <c r="DS15" s="1279"/>
      <c r="DT15" s="1279"/>
      <c r="DU15" s="1279"/>
      <c r="DV15" s="1279"/>
      <c r="DW15" s="1279"/>
      <c r="DX15" s="1279"/>
      <c r="DY15" s="1279"/>
      <c r="DZ15" s="1279"/>
      <c r="EA15" s="1279"/>
      <c r="EB15" s="1279"/>
      <c r="EC15" s="1279"/>
      <c r="ED15" s="1279"/>
      <c r="EE15" s="1279"/>
      <c r="EF15" s="1279"/>
      <c r="EG15" s="1279"/>
      <c r="EH15" s="1279"/>
      <c r="EI15" s="1279"/>
      <c r="EJ15" s="1279"/>
      <c r="EK15" s="1279"/>
      <c r="EL15" s="1279"/>
      <c r="EM15" s="1279"/>
      <c r="EN15" s="1279"/>
      <c r="EO15" s="1279"/>
    </row>
    <row r="16" spans="1:145" ht="15">
      <c r="A16" s="1011" t="s">
        <v>28</v>
      </c>
      <c r="B16" s="1028">
        <v>38</v>
      </c>
      <c r="C16" s="645">
        <f>'Line Item Descriptions'!F15</f>
        <v>387</v>
      </c>
      <c r="D16" s="1218">
        <v>892</v>
      </c>
      <c r="E16" s="1001">
        <f>Number_of_Schools</f>
        <v>1247</v>
      </c>
      <c r="F16" s="1219">
        <v>1468</v>
      </c>
      <c r="G16" s="1003">
        <f>(Hardware!B42*E16)/N16</f>
        <v>14687.166000000001</v>
      </c>
      <c r="H16" s="1138">
        <v>196712</v>
      </c>
      <c r="I16" s="1003">
        <f>K16/E16</f>
        <v>64.5</v>
      </c>
      <c r="J16" s="1138">
        <v>148.66666666666666</v>
      </c>
      <c r="K16" s="1002">
        <f>P16/BudgetYears</f>
        <v>80431.5</v>
      </c>
      <c r="L16" s="1136">
        <v>218242.66666666666</v>
      </c>
      <c r="M16" s="1002">
        <f>'TAR Numbers'!R10+'TAR Numbers'!S10</f>
        <v>770378.0399999998</v>
      </c>
      <c r="N16" s="1014">
        <v>5</v>
      </c>
      <c r="O16" s="1015">
        <v>0</v>
      </c>
      <c r="P16" s="1370">
        <f>(C16*E16)</f>
        <v>482589</v>
      </c>
      <c r="Q16" s="1006">
        <f>(P16)-(O16*3)</f>
        <v>482589</v>
      </c>
      <c r="R16" s="1007" t="s">
        <v>18</v>
      </c>
      <c r="S16" s="1006">
        <f>IF($R16="S/L or L",$P16,0)</f>
        <v>482589</v>
      </c>
      <c r="T16" s="1006">
        <f>IF($R16="L",$P16,0)</f>
        <v>0</v>
      </c>
      <c r="U16" s="1006">
        <f>IF($R16="S",$P16,0)</f>
        <v>0</v>
      </c>
      <c r="V16" s="1006">
        <f>IF($R16="F",$P16,0)</f>
        <v>0</v>
      </c>
      <c r="W16" s="1006">
        <f>SUM(S16:V16)</f>
        <v>482589</v>
      </c>
      <c r="X16" s="1016" t="s">
        <v>25</v>
      </c>
      <c r="Y16" s="1006">
        <f>IF($R16="S/L or L",$K16,0)</f>
        <v>80431.5</v>
      </c>
      <c r="Z16" s="1006">
        <f>IF($R16="L",$K16,0)</f>
        <v>0</v>
      </c>
      <c r="AA16" s="1006">
        <f>IF($R16="S",$K16,0)</f>
        <v>0</v>
      </c>
      <c r="AB16" s="1006">
        <f>IF($R16="F",$K16,0)</f>
        <v>0</v>
      </c>
      <c r="AC16" s="1009">
        <f>SUM(Y16:AB16)</f>
        <v>80431.5</v>
      </c>
      <c r="AD16" s="1006">
        <f>IF($R16="S/L or L",$O16,0)</f>
        <v>0</v>
      </c>
      <c r="AE16" s="1006">
        <f>IF($R16="L",$O16,0)</f>
        <v>0</v>
      </c>
      <c r="AF16" s="1006">
        <f>IF($R16="S",$O16,0)</f>
        <v>0</v>
      </c>
      <c r="AG16" s="1006">
        <f>IF($R16="F",$O16,0)</f>
        <v>0</v>
      </c>
      <c r="AH16" s="1009">
        <f>SUM(AD16:AG16)</f>
        <v>0</v>
      </c>
      <c r="AM16" s="1301"/>
      <c r="AQ16" s="1303"/>
      <c r="AS16" s="1301"/>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1279"/>
      <c r="DG16" s="1279"/>
      <c r="DH16" s="1279"/>
      <c r="DI16" s="1279"/>
      <c r="DJ16" s="1279"/>
      <c r="DK16" s="1279"/>
      <c r="DL16" s="1279"/>
      <c r="DM16" s="1279"/>
      <c r="DN16" s="1279"/>
      <c r="DO16" s="1279"/>
      <c r="DP16" s="1279"/>
      <c r="DQ16" s="1279"/>
      <c r="DR16" s="1279"/>
      <c r="DS16" s="1279"/>
      <c r="DT16" s="1279"/>
      <c r="DU16" s="1279"/>
      <c r="DV16" s="1279"/>
      <c r="DW16" s="1279"/>
      <c r="DX16" s="1279"/>
      <c r="DY16" s="1279"/>
      <c r="DZ16" s="1279"/>
      <c r="EA16" s="1279"/>
      <c r="EB16" s="1279"/>
      <c r="EC16" s="1279"/>
      <c r="ED16" s="1279"/>
      <c r="EE16" s="1279"/>
      <c r="EF16" s="1279"/>
      <c r="EG16" s="1279"/>
      <c r="EH16" s="1279"/>
      <c r="EI16" s="1279"/>
      <c r="EJ16" s="1279"/>
      <c r="EK16" s="1279"/>
      <c r="EL16" s="1279"/>
      <c r="EM16" s="1279"/>
      <c r="EN16" s="1279"/>
      <c r="EO16" s="1279"/>
    </row>
    <row r="17" spans="1:145" ht="15" hidden="1">
      <c r="A17" s="1011" t="s">
        <v>857</v>
      </c>
      <c r="B17" s="1028">
        <v>76</v>
      </c>
      <c r="C17" s="645">
        <f>'Line Item Descriptions'!F16</f>
        <v>2402.3133333333335</v>
      </c>
      <c r="D17" s="1218">
        <v>4327</v>
      </c>
      <c r="E17" s="1001">
        <f>Number_of_Schools</f>
        <v>1247</v>
      </c>
      <c r="F17" s="1219">
        <v>1416</v>
      </c>
      <c r="G17" s="1003">
        <f>E17*203</f>
        <v>253141</v>
      </c>
      <c r="H17" s="1138">
        <v>287448</v>
      </c>
      <c r="I17" s="1003">
        <f>K17/E17</f>
        <v>400.3855555555556</v>
      </c>
      <c r="J17" s="1138">
        <v>721.1666666666666</v>
      </c>
      <c r="K17" s="1002">
        <f>P17/BudgetYears</f>
        <v>499280.7877777778</v>
      </c>
      <c r="L17" s="1136">
        <v>1021172</v>
      </c>
      <c r="M17" s="1002">
        <f>'TAR Numbers'!T10+'TAR Numbers'!U10</f>
        <v>132032.075</v>
      </c>
      <c r="N17" s="1014">
        <v>6</v>
      </c>
      <c r="O17" s="1015">
        <v>0</v>
      </c>
      <c r="P17" s="1006">
        <f>(C17*E17)*(BudgetYears/N17)</f>
        <v>2995684.726666667</v>
      </c>
      <c r="Q17" s="1006">
        <f>(P17)-(O17*3)</f>
        <v>2995684.726666667</v>
      </c>
      <c r="R17" s="1007" t="s">
        <v>18</v>
      </c>
      <c r="S17" s="1006">
        <f>IF($R17="S/L or L",$P17,0)</f>
        <v>2995684.726666667</v>
      </c>
      <c r="T17" s="1006">
        <f>IF($R17="L",$P17,0)</f>
        <v>0</v>
      </c>
      <c r="U17" s="1006">
        <f>IF($R17="S",$P17,0)</f>
        <v>0</v>
      </c>
      <c r="V17" s="1006">
        <f>IF($R17="F",$P17,0)</f>
        <v>0</v>
      </c>
      <c r="W17" s="1006">
        <f>SUM(S17:V17)</f>
        <v>2995684.726666667</v>
      </c>
      <c r="X17" s="1016" t="s">
        <v>25</v>
      </c>
      <c r="Y17" s="1006">
        <f>IF($R17="S/L or L",$K17,0)</f>
        <v>499280.7877777778</v>
      </c>
      <c r="Z17" s="1006">
        <f>IF($R17="L",$K17,0)</f>
        <v>0</v>
      </c>
      <c r="AA17" s="1006">
        <f>IF($R17="S",$K17,0)</f>
        <v>0</v>
      </c>
      <c r="AB17" s="1006">
        <f>IF($R17="F",$K17,0)</f>
        <v>0</v>
      </c>
      <c r="AC17" s="1009">
        <f>SUM(Y17:AB17)</f>
        <v>499280.7877777778</v>
      </c>
      <c r="AD17" s="1006">
        <f>IF($R17="S/L or L",$O17,0)</f>
        <v>0</v>
      </c>
      <c r="AE17" s="1006">
        <f>IF($R17="L",$O17,0)</f>
        <v>0</v>
      </c>
      <c r="AF17" s="1006">
        <f>IF($R17="S",$O17,0)</f>
        <v>0</v>
      </c>
      <c r="AG17" s="1006">
        <f>IF($R17="F",$O17,0)</f>
        <v>0</v>
      </c>
      <c r="AH17" s="1009">
        <f>SUM(AD17:AG17)</f>
        <v>0</v>
      </c>
      <c r="AM17" s="1301"/>
      <c r="AQ17" s="1303"/>
      <c r="AS17" s="1301"/>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1279"/>
      <c r="DG17" s="1279"/>
      <c r="DH17" s="1279"/>
      <c r="DI17" s="1279"/>
      <c r="DJ17" s="1279"/>
      <c r="DK17" s="1279"/>
      <c r="DL17" s="1279"/>
      <c r="DM17" s="1279"/>
      <c r="DN17" s="1279"/>
      <c r="DO17" s="1279"/>
      <c r="DP17" s="1279"/>
      <c r="DQ17" s="1279"/>
      <c r="DR17" s="1279"/>
      <c r="DS17" s="1279"/>
      <c r="DT17" s="1279"/>
      <c r="DU17" s="1279"/>
      <c r="DV17" s="1279"/>
      <c r="DW17" s="1279"/>
      <c r="DX17" s="1279"/>
      <c r="DY17" s="1279"/>
      <c r="DZ17" s="1279"/>
      <c r="EA17" s="1279"/>
      <c r="EB17" s="1279"/>
      <c r="EC17" s="1279"/>
      <c r="ED17" s="1279"/>
      <c r="EE17" s="1279"/>
      <c r="EF17" s="1279"/>
      <c r="EG17" s="1279"/>
      <c r="EH17" s="1279"/>
      <c r="EI17" s="1279"/>
      <c r="EJ17" s="1279"/>
      <c r="EK17" s="1279"/>
      <c r="EL17" s="1279"/>
      <c r="EM17" s="1279"/>
      <c r="EN17" s="1279"/>
      <c r="EO17" s="1279"/>
    </row>
    <row r="18" spans="1:145" s="1010" customFormat="1" ht="15">
      <c r="A18" s="1011"/>
      <c r="B18" s="1028"/>
      <c r="C18" s="645"/>
      <c r="D18" s="1218"/>
      <c r="E18" s="1001"/>
      <c r="F18" s="1219"/>
      <c r="G18" s="1003"/>
      <c r="H18" s="1138"/>
      <c r="I18" s="1003"/>
      <c r="J18" s="1138"/>
      <c r="K18" s="1002"/>
      <c r="L18" s="1136"/>
      <c r="M18" s="1002"/>
      <c r="N18" s="1014"/>
      <c r="O18" s="1015"/>
      <c r="P18" s="1006"/>
      <c r="Q18" s="1006"/>
      <c r="R18" s="1007"/>
      <c r="S18" s="1006"/>
      <c r="T18" s="1006"/>
      <c r="U18" s="1006"/>
      <c r="V18" s="1006"/>
      <c r="W18" s="1006"/>
      <c r="X18" s="1016"/>
      <c r="Y18" s="1006"/>
      <c r="Z18" s="1006"/>
      <c r="AA18" s="1006"/>
      <c r="AB18" s="1006"/>
      <c r="AC18" s="1009"/>
      <c r="AD18" s="1006"/>
      <c r="AE18" s="1006"/>
      <c r="AF18" s="1006"/>
      <c r="AG18" s="1006"/>
      <c r="AH18" s="1009"/>
      <c r="AJ18" s="1011" t="s">
        <v>1902</v>
      </c>
      <c r="AK18" s="1011">
        <v>105</v>
      </c>
      <c r="AL18" s="863">
        <f>'Line Item Descriptions'!F185</f>
        <v>2402.3133333333335</v>
      </c>
      <c r="AM18" s="1177">
        <v>4327</v>
      </c>
      <c r="AN18" s="1012">
        <f>Number_of_Schools*3</f>
        <v>3741</v>
      </c>
      <c r="AQ18" s="1209">
        <v>4116</v>
      </c>
      <c r="AR18" s="863">
        <f>SUM(AL18/AU18)*AN18</f>
        <v>1797410.8360000001</v>
      </c>
      <c r="AS18" s="1177">
        <v>2968322</v>
      </c>
      <c r="AT18" s="863"/>
      <c r="AU18" s="1007">
        <v>5</v>
      </c>
      <c r="AY18" s="994"/>
      <c r="AZ18" s="994"/>
      <c r="BA18" s="994"/>
      <c r="BB18" s="994"/>
      <c r="BC18" s="994"/>
      <c r="BD18" s="994"/>
      <c r="BE18" s="994"/>
      <c r="BF18" s="994"/>
      <c r="BG18" s="994"/>
      <c r="BH18" s="994"/>
      <c r="BI18" s="994"/>
      <c r="BJ18" s="994"/>
      <c r="BK18" s="994"/>
      <c r="BL18" s="994"/>
      <c r="BM18" s="994"/>
      <c r="BN18" s="994"/>
      <c r="BO18" s="994"/>
      <c r="BP18" s="994"/>
      <c r="BQ18" s="994"/>
      <c r="BR18" s="994"/>
      <c r="BS18" s="994"/>
      <c r="BT18" s="994"/>
      <c r="BU18" s="994"/>
      <c r="BV18" s="994"/>
      <c r="BW18" s="994"/>
      <c r="BX18" s="994"/>
      <c r="BY18" s="994"/>
      <c r="BZ18" s="994"/>
      <c r="CA18" s="994"/>
      <c r="CB18" s="994"/>
      <c r="CC18" s="994"/>
      <c r="CD18" s="994"/>
      <c r="CE18" s="994"/>
      <c r="CF18" s="994"/>
      <c r="CG18" s="994"/>
      <c r="CH18" s="994"/>
      <c r="CI18" s="994"/>
      <c r="CJ18" s="994"/>
      <c r="CK18" s="994"/>
      <c r="CL18" s="994"/>
      <c r="CM18" s="994"/>
      <c r="CN18" s="994"/>
      <c r="CO18" s="994"/>
      <c r="CP18" s="994"/>
      <c r="CQ18" s="994"/>
      <c r="CR18" s="994"/>
      <c r="CS18" s="994"/>
      <c r="CT18" s="994"/>
      <c r="CU18" s="994"/>
      <c r="CV18" s="994"/>
      <c r="CW18" s="994"/>
      <c r="CX18" s="994"/>
      <c r="CY18" s="994"/>
      <c r="CZ18" s="994"/>
      <c r="DA18" s="994"/>
      <c r="DB18" s="994"/>
      <c r="DC18" s="994"/>
      <c r="DD18" s="994"/>
      <c r="DE18" s="994"/>
      <c r="DF18" s="994"/>
      <c r="DG18" s="994"/>
      <c r="DH18" s="994"/>
      <c r="DI18" s="994"/>
      <c r="DJ18" s="994"/>
      <c r="DK18" s="994"/>
      <c r="DL18" s="994"/>
      <c r="DM18" s="994"/>
      <c r="DN18" s="994"/>
      <c r="DO18" s="994"/>
      <c r="DP18" s="994"/>
      <c r="DQ18" s="994"/>
      <c r="DR18" s="994"/>
      <c r="DS18" s="994"/>
      <c r="DT18" s="994"/>
      <c r="DU18" s="994"/>
      <c r="DV18" s="994"/>
      <c r="DW18" s="994"/>
      <c r="DX18" s="994"/>
      <c r="DY18" s="994"/>
      <c r="DZ18" s="994"/>
      <c r="EA18" s="994"/>
      <c r="EB18" s="994"/>
      <c r="EC18" s="994"/>
      <c r="ED18" s="994"/>
      <c r="EE18" s="994"/>
      <c r="EF18" s="994"/>
      <c r="EG18" s="994"/>
      <c r="EH18" s="994"/>
      <c r="EI18" s="994"/>
      <c r="EJ18" s="994"/>
      <c r="EK18" s="994"/>
      <c r="EL18" s="994"/>
      <c r="EM18" s="994"/>
      <c r="EN18" s="994"/>
      <c r="EO18" s="994"/>
    </row>
    <row r="19" spans="1:145" s="1010" customFormat="1" ht="15">
      <c r="A19" s="1011"/>
      <c r="B19" s="1028"/>
      <c r="C19" s="645"/>
      <c r="D19" s="1218"/>
      <c r="E19" s="1001"/>
      <c r="F19" s="1219"/>
      <c r="G19" s="1003"/>
      <c r="H19" s="1138"/>
      <c r="I19" s="1003"/>
      <c r="J19" s="1138"/>
      <c r="K19" s="1002"/>
      <c r="L19" s="1136"/>
      <c r="M19" s="1002"/>
      <c r="N19" s="1014"/>
      <c r="O19" s="1015"/>
      <c r="P19" s="1006"/>
      <c r="Q19" s="1006"/>
      <c r="R19" s="1007"/>
      <c r="S19" s="1006"/>
      <c r="T19" s="1006"/>
      <c r="U19" s="1006"/>
      <c r="V19" s="1006"/>
      <c r="W19" s="1006"/>
      <c r="X19" s="1016"/>
      <c r="Y19" s="1006"/>
      <c r="Z19" s="1006"/>
      <c r="AA19" s="1006"/>
      <c r="AB19" s="1006"/>
      <c r="AC19" s="1009"/>
      <c r="AD19" s="1006"/>
      <c r="AE19" s="1006"/>
      <c r="AF19" s="1006"/>
      <c r="AG19" s="1006"/>
      <c r="AH19" s="1009"/>
      <c r="AJ19" s="1253" t="s">
        <v>1901</v>
      </c>
      <c r="AK19" s="1253"/>
      <c r="AL19" s="863"/>
      <c r="AM19" s="1177"/>
      <c r="AN19" s="1012"/>
      <c r="AQ19" s="1209"/>
      <c r="AR19" s="863"/>
      <c r="AS19" s="1177"/>
      <c r="AT19" s="863"/>
      <c r="AU19" s="1007"/>
      <c r="AY19" s="994"/>
      <c r="AZ19" s="994"/>
      <c r="BA19" s="994"/>
      <c r="BB19" s="994"/>
      <c r="BC19" s="994"/>
      <c r="BD19" s="994"/>
      <c r="BE19" s="994"/>
      <c r="BF19" s="994"/>
      <c r="BG19" s="994"/>
      <c r="BH19" s="994"/>
      <c r="BI19" s="994"/>
      <c r="BJ19" s="994"/>
      <c r="BK19" s="994"/>
      <c r="BL19" s="994"/>
      <c r="BM19" s="994"/>
      <c r="BN19" s="994"/>
      <c r="BO19" s="994"/>
      <c r="BP19" s="994"/>
      <c r="BQ19" s="994"/>
      <c r="BR19" s="994"/>
      <c r="BS19" s="994"/>
      <c r="BT19" s="994"/>
      <c r="BU19" s="994"/>
      <c r="BV19" s="994"/>
      <c r="BW19" s="994"/>
      <c r="BX19" s="994"/>
      <c r="BY19" s="994"/>
      <c r="BZ19" s="994"/>
      <c r="CA19" s="994"/>
      <c r="CB19" s="994"/>
      <c r="CC19" s="994"/>
      <c r="CD19" s="994"/>
      <c r="CE19" s="994"/>
      <c r="CF19" s="994"/>
      <c r="CG19" s="994"/>
      <c r="CH19" s="994"/>
      <c r="CI19" s="994"/>
      <c r="CJ19" s="994"/>
      <c r="CK19" s="994"/>
      <c r="CL19" s="994"/>
      <c r="CM19" s="994"/>
      <c r="CN19" s="994"/>
      <c r="CO19" s="994"/>
      <c r="CP19" s="994"/>
      <c r="CQ19" s="994"/>
      <c r="CR19" s="994"/>
      <c r="CS19" s="994"/>
      <c r="CT19" s="994"/>
      <c r="CU19" s="994"/>
      <c r="CV19" s="994"/>
      <c r="CW19" s="994"/>
      <c r="CX19" s="994"/>
      <c r="CY19" s="994"/>
      <c r="CZ19" s="994"/>
      <c r="DA19" s="994"/>
      <c r="DB19" s="994"/>
      <c r="DC19" s="994"/>
      <c r="DD19" s="994"/>
      <c r="DE19" s="994"/>
      <c r="DF19" s="994"/>
      <c r="DG19" s="994"/>
      <c r="DH19" s="994"/>
      <c r="DI19" s="994"/>
      <c r="DJ19" s="994"/>
      <c r="DK19" s="994"/>
      <c r="DL19" s="994"/>
      <c r="DM19" s="994"/>
      <c r="DN19" s="994"/>
      <c r="DO19" s="994"/>
      <c r="DP19" s="994"/>
      <c r="DQ19" s="994"/>
      <c r="DR19" s="994"/>
      <c r="DS19" s="994"/>
      <c r="DT19" s="994"/>
      <c r="DU19" s="994"/>
      <c r="DV19" s="994"/>
      <c r="DW19" s="994"/>
      <c r="DX19" s="994"/>
      <c r="DY19" s="994"/>
      <c r="DZ19" s="994"/>
      <c r="EA19" s="994"/>
      <c r="EB19" s="994"/>
      <c r="EC19" s="994"/>
      <c r="ED19" s="994"/>
      <c r="EE19" s="994"/>
      <c r="EF19" s="994"/>
      <c r="EG19" s="994"/>
      <c r="EH19" s="994"/>
      <c r="EI19" s="994"/>
      <c r="EJ19" s="994"/>
      <c r="EK19" s="994"/>
      <c r="EL19" s="994"/>
      <c r="EM19" s="994"/>
      <c r="EN19" s="994"/>
      <c r="EO19" s="994"/>
    </row>
    <row r="20" spans="1:145" ht="15.75" customHeight="1">
      <c r="A20" s="1028" t="s">
        <v>30</v>
      </c>
      <c r="B20" s="1028"/>
      <c r="C20" s="1029" t="s">
        <v>25</v>
      </c>
      <c r="D20" s="1153" t="s">
        <v>25</v>
      </c>
      <c r="E20" s="1030"/>
      <c r="F20" s="1165"/>
      <c r="G20" s="1031">
        <f>SUM(G15:G16)</f>
        <v>229607.92775</v>
      </c>
      <c r="H20" s="1139">
        <v>1020388</v>
      </c>
      <c r="I20" s="1031"/>
      <c r="J20" s="1139"/>
      <c r="K20" s="1031">
        <f>SUM(K15:K16)</f>
        <v>1005289.8333333334</v>
      </c>
      <c r="L20" s="1139">
        <v>2636857.3333333335</v>
      </c>
      <c r="M20" s="1031">
        <f>SUM(M15:M17)</f>
        <v>3939571.3050000006</v>
      </c>
      <c r="N20" s="1032"/>
      <c r="O20" s="1031">
        <f aca="true" t="shared" si="17" ref="O20:W20">SUM(O15:O17)</f>
        <v>0</v>
      </c>
      <c r="P20" s="1029">
        <f t="shared" si="17"/>
        <v>9027423.726666667</v>
      </c>
      <c r="Q20" s="1029">
        <f t="shared" si="17"/>
        <v>9027423.726666667</v>
      </c>
      <c r="R20" s="1007" t="s">
        <v>25</v>
      </c>
      <c r="S20" s="1029">
        <f t="shared" si="17"/>
        <v>9027423.726666667</v>
      </c>
      <c r="T20" s="1029">
        <f t="shared" si="17"/>
        <v>0</v>
      </c>
      <c r="U20" s="1029">
        <f t="shared" si="17"/>
        <v>0</v>
      </c>
      <c r="V20" s="1029">
        <f t="shared" si="17"/>
        <v>0</v>
      </c>
      <c r="W20" s="1029">
        <f t="shared" si="17"/>
        <v>9027423.726666667</v>
      </c>
      <c r="X20" s="1016">
        <v>2255631.536912259</v>
      </c>
      <c r="Y20" s="1029">
        <f aca="true" t="shared" si="18" ref="Y20:AH20">SUM(Y15:Y17)</f>
        <v>1504570.6211111112</v>
      </c>
      <c r="Z20" s="1029">
        <f t="shared" si="18"/>
        <v>0</v>
      </c>
      <c r="AA20" s="1029">
        <f t="shared" si="18"/>
        <v>0</v>
      </c>
      <c r="AB20" s="1029">
        <f t="shared" si="18"/>
        <v>0</v>
      </c>
      <c r="AC20" s="1029">
        <f t="shared" si="18"/>
        <v>1504570.6211111112</v>
      </c>
      <c r="AD20" s="1033">
        <f t="shared" si="18"/>
        <v>0</v>
      </c>
      <c r="AE20" s="1033">
        <f t="shared" si="18"/>
        <v>0</v>
      </c>
      <c r="AF20" s="1033">
        <f t="shared" si="18"/>
        <v>0</v>
      </c>
      <c r="AG20" s="1033">
        <f t="shared" si="18"/>
        <v>0</v>
      </c>
      <c r="AH20" s="1033">
        <f t="shared" si="18"/>
        <v>0</v>
      </c>
      <c r="AM20" s="1301"/>
      <c r="AQ20" s="1303"/>
      <c r="AS20" s="1301"/>
      <c r="AY20" s="1279"/>
      <c r="AZ20" s="1279"/>
      <c r="BA20" s="1279"/>
      <c r="BB20" s="1279"/>
      <c r="BC20" s="1279"/>
      <c r="BD20" s="1279"/>
      <c r="BE20" s="1279"/>
      <c r="BF20" s="1279"/>
      <c r="BG20" s="1279"/>
      <c r="BH20" s="1279"/>
      <c r="BI20" s="1279"/>
      <c r="BJ20" s="1279"/>
      <c r="BK20" s="1279"/>
      <c r="BL20" s="1279"/>
      <c r="BM20" s="1279"/>
      <c r="BN20" s="1279"/>
      <c r="BO20" s="1279"/>
      <c r="BP20" s="1279"/>
      <c r="BQ20" s="1279"/>
      <c r="BR20" s="1279"/>
      <c r="BS20" s="1279"/>
      <c r="BT20" s="1279"/>
      <c r="BU20" s="1279"/>
      <c r="BV20" s="1279"/>
      <c r="BW20" s="1279"/>
      <c r="BX20" s="1279"/>
      <c r="BY20" s="1279"/>
      <c r="BZ20" s="1279"/>
      <c r="CA20" s="1279"/>
      <c r="CB20" s="1279"/>
      <c r="CC20" s="1279"/>
      <c r="CD20" s="1279"/>
      <c r="CE20" s="1279"/>
      <c r="CF20" s="1279"/>
      <c r="CG20" s="1279"/>
      <c r="CH20" s="1279"/>
      <c r="CI20" s="1279"/>
      <c r="CJ20" s="1279"/>
      <c r="CK20" s="1279"/>
      <c r="CL20" s="1279"/>
      <c r="CM20" s="1279"/>
      <c r="CN20" s="1279"/>
      <c r="CO20" s="1279"/>
      <c r="CP20" s="1279"/>
      <c r="CQ20" s="1279"/>
      <c r="CR20" s="1279"/>
      <c r="CS20" s="1279"/>
      <c r="CT20" s="1279"/>
      <c r="CU20" s="1279"/>
      <c r="CV20" s="1279"/>
      <c r="CW20" s="1279"/>
      <c r="CX20" s="1279"/>
      <c r="CY20" s="1279"/>
      <c r="CZ20" s="1279"/>
      <c r="DA20" s="1279"/>
      <c r="DB20" s="1279"/>
      <c r="DC20" s="1279"/>
      <c r="DD20" s="1279"/>
      <c r="DE20" s="1279"/>
      <c r="DF20" s="1279"/>
      <c r="DG20" s="1279"/>
      <c r="DH20" s="1279"/>
      <c r="DI20" s="1279"/>
      <c r="DJ20" s="1279"/>
      <c r="DK20" s="1279"/>
      <c r="DL20" s="1279"/>
      <c r="DM20" s="1279"/>
      <c r="DN20" s="1279"/>
      <c r="DO20" s="1279"/>
      <c r="DP20" s="1279"/>
      <c r="DQ20" s="1279"/>
      <c r="DR20" s="1279"/>
      <c r="DS20" s="1279"/>
      <c r="DT20" s="1279"/>
      <c r="DU20" s="1279"/>
      <c r="DV20" s="1279"/>
      <c r="DW20" s="1279"/>
      <c r="DX20" s="1279"/>
      <c r="DY20" s="1279"/>
      <c r="DZ20" s="1279"/>
      <c r="EA20" s="1279"/>
      <c r="EB20" s="1279"/>
      <c r="EC20" s="1279"/>
      <c r="ED20" s="1279"/>
      <c r="EE20" s="1279"/>
      <c r="EF20" s="1279"/>
      <c r="EG20" s="1279"/>
      <c r="EH20" s="1279"/>
      <c r="EI20" s="1279"/>
      <c r="EJ20" s="1279"/>
      <c r="EK20" s="1279"/>
      <c r="EL20" s="1279"/>
      <c r="EM20" s="1279"/>
      <c r="EN20" s="1279"/>
      <c r="EO20" s="1279"/>
    </row>
    <row r="21" spans="1:145" s="1042" customFormat="1" ht="20.25" customHeight="1">
      <c r="A21" s="1034" t="s">
        <v>31</v>
      </c>
      <c r="B21" s="1034"/>
      <c r="C21" s="1035" t="s">
        <v>25</v>
      </c>
      <c r="D21" s="1154" t="s">
        <v>25</v>
      </c>
      <c r="E21" s="1036"/>
      <c r="F21" s="1166"/>
      <c r="G21" s="1037">
        <f>G20+G13</f>
        <v>7014089.444894284</v>
      </c>
      <c r="H21" s="1140">
        <v>12950372.594999999</v>
      </c>
      <c r="I21" s="1038"/>
      <c r="J21" s="1174"/>
      <c r="K21" s="1037">
        <f>K20+K13</f>
        <v>36893932.512211815</v>
      </c>
      <c r="L21" s="1140">
        <v>33404600.888888888</v>
      </c>
      <c r="M21" s="1037">
        <f>M20+M13</f>
        <v>35300512.260000005</v>
      </c>
      <c r="N21" s="1039"/>
      <c r="O21" s="1037">
        <f>O20+O13</f>
        <v>698993.1028888889</v>
      </c>
      <c r="P21" s="1040">
        <f>P13+P20</f>
        <v>197709564.45911458</v>
      </c>
      <c r="Q21" s="1040">
        <f>Q13+Q20</f>
        <v>195612585.1504479</v>
      </c>
      <c r="R21" s="1041" t="s">
        <v>25</v>
      </c>
      <c r="S21" s="1029">
        <f>S13+S20</f>
        <v>64460987.755</v>
      </c>
      <c r="T21" s="1029">
        <f>T13+T20</f>
        <v>0</v>
      </c>
      <c r="U21" s="1029">
        <f>U13+U20</f>
        <v>0</v>
      </c>
      <c r="V21" s="1029">
        <f>V13+V20</f>
        <v>0</v>
      </c>
      <c r="W21" s="1029">
        <f>W13+W20</f>
        <v>64460987.755</v>
      </c>
      <c r="X21" s="1016">
        <v>13227215.17992776</v>
      </c>
      <c r="Y21" s="1029">
        <f aca="true" t="shared" si="19" ref="Y21:AH21">Y13+Y20</f>
        <v>10743497.959166668</v>
      </c>
      <c r="Z21" s="1029">
        <f t="shared" si="19"/>
        <v>0</v>
      </c>
      <c r="AA21" s="1029">
        <f t="shared" si="19"/>
        <v>0</v>
      </c>
      <c r="AB21" s="1029">
        <f t="shared" si="19"/>
        <v>0</v>
      </c>
      <c r="AC21" s="1029">
        <f t="shared" si="19"/>
        <v>10743497.959166668</v>
      </c>
      <c r="AD21" s="1029">
        <f t="shared" si="19"/>
        <v>698993.1028888889</v>
      </c>
      <c r="AE21" s="1029">
        <f t="shared" si="19"/>
        <v>0</v>
      </c>
      <c r="AF21" s="1029">
        <f t="shared" si="19"/>
        <v>0</v>
      </c>
      <c r="AG21" s="1029">
        <f t="shared" si="19"/>
        <v>0</v>
      </c>
      <c r="AH21" s="1029">
        <f t="shared" si="19"/>
        <v>698993.1028888889</v>
      </c>
      <c r="AJ21" s="1043"/>
      <c r="AK21" s="1043"/>
      <c r="AL21" s="1038"/>
      <c r="AM21" s="1174"/>
      <c r="AN21" s="1044"/>
      <c r="AQ21" s="1210"/>
      <c r="AR21" s="1038"/>
      <c r="AS21" s="1174"/>
      <c r="AT21" s="1038"/>
      <c r="AU21" s="1045"/>
      <c r="AY21" s="1046"/>
      <c r="AZ21" s="1046"/>
      <c r="BA21" s="1046"/>
      <c r="BB21" s="1046"/>
      <c r="BC21" s="1046"/>
      <c r="BD21" s="1046"/>
      <c r="BE21" s="1046"/>
      <c r="BF21" s="1046"/>
      <c r="BG21" s="1046"/>
      <c r="BH21" s="1046"/>
      <c r="BI21" s="1046"/>
      <c r="BJ21" s="1046"/>
      <c r="BK21" s="1046"/>
      <c r="BL21" s="1046"/>
      <c r="BM21" s="1046"/>
      <c r="BN21" s="1046"/>
      <c r="BO21" s="1046"/>
      <c r="BP21" s="1046"/>
      <c r="BQ21" s="1046"/>
      <c r="BR21" s="1046"/>
      <c r="BS21" s="1046"/>
      <c r="BT21" s="1046"/>
      <c r="BU21" s="1046"/>
      <c r="BV21" s="1046"/>
      <c r="BW21" s="1046"/>
      <c r="BX21" s="1046"/>
      <c r="BY21" s="1046"/>
      <c r="BZ21" s="1046"/>
      <c r="CA21" s="1046"/>
      <c r="CB21" s="1046"/>
      <c r="CC21" s="1046"/>
      <c r="CD21" s="1046"/>
      <c r="CE21" s="1046"/>
      <c r="CF21" s="1046"/>
      <c r="CG21" s="1046"/>
      <c r="CH21" s="1046"/>
      <c r="CI21" s="1046"/>
      <c r="CJ21" s="1046"/>
      <c r="CK21" s="1046"/>
      <c r="CL21" s="1046"/>
      <c r="CM21" s="1046"/>
      <c r="CN21" s="1046"/>
      <c r="CO21" s="1046"/>
      <c r="CP21" s="1046"/>
      <c r="CQ21" s="1046"/>
      <c r="CR21" s="1046"/>
      <c r="CS21" s="1046"/>
      <c r="CT21" s="1046"/>
      <c r="CU21" s="1046"/>
      <c r="CV21" s="1046"/>
      <c r="CW21" s="1046"/>
      <c r="CX21" s="1046"/>
      <c r="CY21" s="1046"/>
      <c r="CZ21" s="1046"/>
      <c r="DA21" s="1046"/>
      <c r="DB21" s="1046"/>
      <c r="DC21" s="1046"/>
      <c r="DD21" s="1046"/>
      <c r="DE21" s="1046"/>
      <c r="DF21" s="1046"/>
      <c r="DG21" s="1046"/>
      <c r="DH21" s="1046"/>
      <c r="DI21" s="1046"/>
      <c r="DJ21" s="1046"/>
      <c r="DK21" s="1046"/>
      <c r="DL21" s="1046"/>
      <c r="DM21" s="1046"/>
      <c r="DN21" s="1046"/>
      <c r="DO21" s="1046"/>
      <c r="DP21" s="1046"/>
      <c r="DQ21" s="1046"/>
      <c r="DR21" s="1046"/>
      <c r="DS21" s="1046"/>
      <c r="DT21" s="1046"/>
      <c r="DU21" s="1046"/>
      <c r="DV21" s="1046"/>
      <c r="DW21" s="1046"/>
      <c r="DX21" s="1046"/>
      <c r="DY21" s="1046"/>
      <c r="DZ21" s="1046"/>
      <c r="EA21" s="1046"/>
      <c r="EB21" s="1046"/>
      <c r="EC21" s="1046"/>
      <c r="ED21" s="1046"/>
      <c r="EE21" s="1046"/>
      <c r="EF21" s="1046"/>
      <c r="EG21" s="1046"/>
      <c r="EH21" s="1046"/>
      <c r="EI21" s="1046"/>
      <c r="EJ21" s="1046"/>
      <c r="EK21" s="1046"/>
      <c r="EL21" s="1046"/>
      <c r="EM21" s="1046"/>
      <c r="EN21" s="1046"/>
      <c r="EO21" s="1046"/>
    </row>
    <row r="22" spans="1:145" s="1287" customFormat="1" ht="15">
      <c r="A22" s="985" t="s">
        <v>928</v>
      </c>
      <c r="B22" s="985"/>
      <c r="C22" s="986"/>
      <c r="D22" s="1150"/>
      <c r="E22" s="987"/>
      <c r="F22" s="1161"/>
      <c r="G22" s="988"/>
      <c r="H22" s="1134"/>
      <c r="I22" s="988"/>
      <c r="J22" s="1134"/>
      <c r="K22" s="988"/>
      <c r="L22" s="1134"/>
      <c r="M22" s="988"/>
      <c r="N22" s="989"/>
      <c r="O22" s="989"/>
      <c r="P22" s="990"/>
      <c r="Q22" s="990"/>
      <c r="R22" s="991"/>
      <c r="S22" s="990"/>
      <c r="T22" s="990"/>
      <c r="U22" s="990"/>
      <c r="V22" s="990"/>
      <c r="W22" s="990"/>
      <c r="X22" s="1016"/>
      <c r="Y22" s="1016"/>
      <c r="Z22" s="1016"/>
      <c r="AA22" s="1016"/>
      <c r="AB22" s="1016"/>
      <c r="AC22" s="1016"/>
      <c r="AD22" s="1016"/>
      <c r="AE22" s="1016"/>
      <c r="AF22" s="1016"/>
      <c r="AG22" s="1016"/>
      <c r="AH22" s="1016"/>
      <c r="AJ22" s="1288"/>
      <c r="AK22" s="1288"/>
      <c r="AL22" s="1289"/>
      <c r="AM22" s="1290"/>
      <c r="AN22" s="1291"/>
      <c r="AQ22" s="1292"/>
      <c r="AR22" s="1289"/>
      <c r="AS22" s="1290"/>
      <c r="AT22" s="1289"/>
      <c r="AU22" s="1293"/>
      <c r="AY22" s="1279"/>
      <c r="AZ22" s="1279"/>
      <c r="BA22" s="1279"/>
      <c r="BB22" s="1279"/>
      <c r="BC22" s="1279"/>
      <c r="BD22" s="1279"/>
      <c r="BE22" s="1279"/>
      <c r="BF22" s="1279"/>
      <c r="BG22" s="1279"/>
      <c r="BH22" s="1279"/>
      <c r="BI22" s="1279"/>
      <c r="BJ22" s="1279"/>
      <c r="BK22" s="1279"/>
      <c r="BL22" s="1279"/>
      <c r="BM22" s="1279"/>
      <c r="BN22" s="1279"/>
      <c r="BO22" s="1279"/>
      <c r="BP22" s="1279"/>
      <c r="BQ22" s="1279"/>
      <c r="BR22" s="1279"/>
      <c r="BS22" s="1279"/>
      <c r="BT22" s="1279"/>
      <c r="BU22" s="1279"/>
      <c r="BV22" s="1279"/>
      <c r="BW22" s="1279"/>
      <c r="BX22" s="1279"/>
      <c r="BY22" s="1279"/>
      <c r="BZ22" s="1279"/>
      <c r="CA22" s="1279"/>
      <c r="CB22" s="1279"/>
      <c r="CC22" s="1279"/>
      <c r="CD22" s="1279"/>
      <c r="CE22" s="1279"/>
      <c r="CF22" s="1279"/>
      <c r="CG22" s="1279"/>
      <c r="CH22" s="1279"/>
      <c r="CI22" s="1279"/>
      <c r="CJ22" s="1279"/>
      <c r="CK22" s="1279"/>
      <c r="CL22" s="1279"/>
      <c r="CM22" s="1279"/>
      <c r="CN22" s="1279"/>
      <c r="CO22" s="1279"/>
      <c r="CP22" s="1279"/>
      <c r="CQ22" s="1279"/>
      <c r="CR22" s="1279"/>
      <c r="CS22" s="1279"/>
      <c r="CT22" s="1279"/>
      <c r="CU22" s="1279"/>
      <c r="CV22" s="1279"/>
      <c r="CW22" s="1279"/>
      <c r="CX22" s="1279"/>
      <c r="CY22" s="1279"/>
      <c r="CZ22" s="1279"/>
      <c r="DA22" s="1279"/>
      <c r="DB22" s="1279"/>
      <c r="DC22" s="1279"/>
      <c r="DD22" s="1279"/>
      <c r="DE22" s="1279"/>
      <c r="DF22" s="1279"/>
      <c r="DG22" s="1279"/>
      <c r="DH22" s="1279"/>
      <c r="DI22" s="1279"/>
      <c r="DJ22" s="1279"/>
      <c r="DK22" s="1279"/>
      <c r="DL22" s="1279"/>
      <c r="DM22" s="1279"/>
      <c r="DN22" s="1279"/>
      <c r="DO22" s="1279"/>
      <c r="DP22" s="1279"/>
      <c r="DQ22" s="1279"/>
      <c r="DR22" s="1279"/>
      <c r="DS22" s="1279"/>
      <c r="DT22" s="1279"/>
      <c r="DU22" s="1279"/>
      <c r="DV22" s="1279"/>
      <c r="DW22" s="1279"/>
      <c r="DX22" s="1279"/>
      <c r="DY22" s="1279"/>
      <c r="DZ22" s="1279"/>
      <c r="EA22" s="1279"/>
      <c r="EB22" s="1279"/>
      <c r="EC22" s="1279"/>
      <c r="ED22" s="1279"/>
      <c r="EE22" s="1279"/>
      <c r="EF22" s="1279"/>
      <c r="EG22" s="1279"/>
      <c r="EH22" s="1279"/>
      <c r="EI22" s="1279"/>
      <c r="EJ22" s="1279"/>
      <c r="EK22" s="1279"/>
      <c r="EL22" s="1279"/>
      <c r="EM22" s="1279"/>
      <c r="EN22" s="1279"/>
      <c r="EO22" s="1279"/>
    </row>
    <row r="23" spans="1:145" ht="15" hidden="1">
      <c r="A23" s="1314" t="s">
        <v>33</v>
      </c>
      <c r="B23" s="1028">
        <v>55</v>
      </c>
      <c r="C23" s="645">
        <f>'Line Item Descriptions'!F22</f>
        <v>240</v>
      </c>
      <c r="D23" s="1218">
        <v>240</v>
      </c>
      <c r="E23" s="1214">
        <f>'Reference Data'!$B$6+('Reference Data'!$B$6*0.5)+'Reference Data'!E66+'Reference Data'!E63</f>
        <v>68423.84</v>
      </c>
      <c r="F23" s="1219">
        <v>61493.02</v>
      </c>
      <c r="G23" s="1047">
        <f>(E23*C23)*0.05</f>
        <v>821086.0800000001</v>
      </c>
      <c r="H23" s="1170">
        <v>737916.24</v>
      </c>
      <c r="I23" s="1003">
        <f aca="true" t="shared" si="20" ref="I23:I32">K23/E23</f>
        <v>12</v>
      </c>
      <c r="J23" s="1138">
        <v>11.999999999999998</v>
      </c>
      <c r="K23" s="1002">
        <f>P23/BudgetYears</f>
        <v>821086.08</v>
      </c>
      <c r="L23" s="1136">
        <v>737916.2399999999</v>
      </c>
      <c r="M23" s="1206"/>
      <c r="N23" s="1048">
        <v>20</v>
      </c>
      <c r="O23" s="1015">
        <f aca="true" t="shared" si="21" ref="O23:O28">(USFInternal)*K23</f>
        <v>574760.2559999999</v>
      </c>
      <c r="P23" s="1006">
        <f aca="true" t="shared" si="22" ref="P23:P32">(C23*E23)*(BudgetYears/N23)</f>
        <v>4926516.4799999995</v>
      </c>
      <c r="Q23" s="1006">
        <f aca="true" t="shared" si="23" ref="Q23:Q32">(P23)-(O23*3)</f>
        <v>3202235.712</v>
      </c>
      <c r="R23" s="1007" t="s">
        <v>34</v>
      </c>
      <c r="S23" s="1006">
        <f aca="true" t="shared" si="24" ref="S23:S32">IF($R23="S/L or L",$P23,0)</f>
        <v>0</v>
      </c>
      <c r="T23" s="1006">
        <f aca="true" t="shared" si="25" ref="T23:T32">IF($R23="L",$P23,0)</f>
        <v>0</v>
      </c>
      <c r="U23" s="1006">
        <f aca="true" t="shared" si="26" ref="U23:U32">IF($R23="S",$P23,0)</f>
        <v>0</v>
      </c>
      <c r="V23" s="1006">
        <f aca="true" t="shared" si="27" ref="V23:V32">IF($R23="F",$P23,0)</f>
        <v>4926516.4799999995</v>
      </c>
      <c r="W23" s="1006">
        <f aca="true" t="shared" si="28" ref="W23:W32">SUM(S23:V23)</f>
        <v>4926516.4799999995</v>
      </c>
      <c r="X23" s="1016" t="s">
        <v>25</v>
      </c>
      <c r="Y23" s="1006">
        <f aca="true" t="shared" si="29" ref="Y23:Y32">IF($R23="S/L or L",$K23,0)</f>
        <v>0</v>
      </c>
      <c r="Z23" s="1006">
        <f aca="true" t="shared" si="30" ref="Z23:Z32">IF($R23="L",$K23,0)</f>
        <v>0</v>
      </c>
      <c r="AA23" s="1006">
        <f aca="true" t="shared" si="31" ref="AA23:AA32">IF($R23="S",$K23,0)</f>
        <v>0</v>
      </c>
      <c r="AB23" s="1006">
        <f aca="true" t="shared" si="32" ref="AB23:AB32">IF($R23="F",$K23,0)</f>
        <v>821086.08</v>
      </c>
      <c r="AC23" s="1009">
        <f>SUM(Y23:AB23)</f>
        <v>821086.08</v>
      </c>
      <c r="AD23" s="1006">
        <f aca="true" t="shared" si="33" ref="AD23:AD32">IF($R23="S/L or L",$O23,0)</f>
        <v>0</v>
      </c>
      <c r="AE23" s="1006">
        <f aca="true" t="shared" si="34" ref="AE23:AE32">IF($R23="L",$O23,0)</f>
        <v>0</v>
      </c>
      <c r="AF23" s="1006">
        <f aca="true" t="shared" si="35" ref="AF23:AF32">IF($R23="S",$O23,0)</f>
        <v>0</v>
      </c>
      <c r="AG23" s="1006">
        <f aca="true" t="shared" si="36" ref="AG23:AG32">IF($R23="F",$O23,0)</f>
        <v>574760.2559999999</v>
      </c>
      <c r="AH23" s="1009">
        <f>SUM(AD23:AG23)</f>
        <v>574760.2559999999</v>
      </c>
      <c r="AM23" s="1301"/>
      <c r="AQ23" s="1303"/>
      <c r="AS23" s="1301"/>
      <c r="AY23" s="1279"/>
      <c r="AZ23" s="1279"/>
      <c r="BA23" s="1279"/>
      <c r="BB23" s="1279"/>
      <c r="BC23" s="1279"/>
      <c r="BD23" s="1279"/>
      <c r="BE23" s="1279"/>
      <c r="BF23" s="1279"/>
      <c r="BG23" s="1279"/>
      <c r="BH23" s="1279"/>
      <c r="BI23" s="1279"/>
      <c r="BJ23" s="1279"/>
      <c r="BK23" s="1279"/>
      <c r="BL23" s="1279"/>
      <c r="BM23" s="1279"/>
      <c r="BN23" s="1279"/>
      <c r="BO23" s="1279"/>
      <c r="BP23" s="1279"/>
      <c r="BQ23" s="1279"/>
      <c r="BR23" s="1279"/>
      <c r="BS23" s="1279"/>
      <c r="BT23" s="1279"/>
      <c r="BU23" s="1279"/>
      <c r="BV23" s="1279"/>
      <c r="BW23" s="1279"/>
      <c r="BX23" s="1279"/>
      <c r="BY23" s="1279"/>
      <c r="BZ23" s="1279"/>
      <c r="CA23" s="1279"/>
      <c r="CB23" s="1279"/>
      <c r="CC23" s="1279"/>
      <c r="CD23" s="1279"/>
      <c r="CE23" s="1279"/>
      <c r="CF23" s="1279"/>
      <c r="CG23" s="1279"/>
      <c r="CH23" s="1279"/>
      <c r="CI23" s="1279"/>
      <c r="CJ23" s="1279"/>
      <c r="CK23" s="1279"/>
      <c r="CL23" s="1279"/>
      <c r="CM23" s="1279"/>
      <c r="CN23" s="1279"/>
      <c r="CO23" s="1279"/>
      <c r="CP23" s="1279"/>
      <c r="CQ23" s="1279"/>
      <c r="CR23" s="1279"/>
      <c r="CS23" s="1279"/>
      <c r="CT23" s="1279"/>
      <c r="CU23" s="1279"/>
      <c r="CV23" s="1279"/>
      <c r="CW23" s="1279"/>
      <c r="CX23" s="1279"/>
      <c r="CY23" s="1279"/>
      <c r="CZ23" s="1279"/>
      <c r="DA23" s="1279"/>
      <c r="DB23" s="1279"/>
      <c r="DC23" s="1279"/>
      <c r="DD23" s="1279"/>
      <c r="DE23" s="1279"/>
      <c r="DF23" s="1279"/>
      <c r="DG23" s="1279"/>
      <c r="DH23" s="1279"/>
      <c r="DI23" s="1279"/>
      <c r="DJ23" s="1279"/>
      <c r="DK23" s="1279"/>
      <c r="DL23" s="1279"/>
      <c r="DM23" s="1279"/>
      <c r="DN23" s="1279"/>
      <c r="DO23" s="1279"/>
      <c r="DP23" s="1279"/>
      <c r="DQ23" s="1279"/>
      <c r="DR23" s="1279"/>
      <c r="DS23" s="1279"/>
      <c r="DT23" s="1279"/>
      <c r="DU23" s="1279"/>
      <c r="DV23" s="1279"/>
      <c r="DW23" s="1279"/>
      <c r="DX23" s="1279"/>
      <c r="DY23" s="1279"/>
      <c r="DZ23" s="1279"/>
      <c r="EA23" s="1279"/>
      <c r="EB23" s="1279"/>
      <c r="EC23" s="1279"/>
      <c r="ED23" s="1279"/>
      <c r="EE23" s="1279"/>
      <c r="EF23" s="1279"/>
      <c r="EG23" s="1279"/>
      <c r="EH23" s="1279"/>
      <c r="EI23" s="1279"/>
      <c r="EJ23" s="1279"/>
      <c r="EK23" s="1279"/>
      <c r="EL23" s="1279"/>
      <c r="EM23" s="1279"/>
      <c r="EN23" s="1279"/>
      <c r="EO23" s="1279"/>
    </row>
    <row r="24" spans="1:145" ht="15" hidden="1">
      <c r="A24" s="1314" t="s">
        <v>35</v>
      </c>
      <c r="B24" s="1028">
        <v>55</v>
      </c>
      <c r="C24" s="645">
        <f>'Line Item Descriptions'!F23</f>
        <v>240</v>
      </c>
      <c r="D24" s="1218">
        <v>240</v>
      </c>
      <c r="E24" s="1214">
        <f>'Reference Data'!$B$6</f>
        <v>42939</v>
      </c>
      <c r="F24" s="1219">
        <v>37829</v>
      </c>
      <c r="G24" s="1047">
        <f aca="true" t="shared" si="37" ref="G24:G29">(E24*C24)*0.05</f>
        <v>515268</v>
      </c>
      <c r="H24" s="1170">
        <v>453948</v>
      </c>
      <c r="I24" s="1003">
        <f t="shared" si="20"/>
        <v>12</v>
      </c>
      <c r="J24" s="1138">
        <v>12</v>
      </c>
      <c r="K24" s="1002">
        <f aca="true" t="shared" si="38" ref="K24:K29">P24/BudgetYears</f>
        <v>515268</v>
      </c>
      <c r="L24" s="1136">
        <v>453948</v>
      </c>
      <c r="M24" s="1206"/>
      <c r="N24" s="1048">
        <v>20</v>
      </c>
      <c r="O24" s="1015">
        <f t="shared" si="21"/>
        <v>360687.6</v>
      </c>
      <c r="P24" s="1006">
        <f t="shared" si="22"/>
        <v>3091608</v>
      </c>
      <c r="Q24" s="1006">
        <f t="shared" si="23"/>
        <v>2009545.2000000002</v>
      </c>
      <c r="R24" s="1007" t="s">
        <v>34</v>
      </c>
      <c r="S24" s="1006">
        <f t="shared" si="24"/>
        <v>0</v>
      </c>
      <c r="T24" s="1006">
        <f t="shared" si="25"/>
        <v>0</v>
      </c>
      <c r="U24" s="1006">
        <f t="shared" si="26"/>
        <v>0</v>
      </c>
      <c r="V24" s="1006">
        <f t="shared" si="27"/>
        <v>3091608</v>
      </c>
      <c r="W24" s="1006">
        <f t="shared" si="28"/>
        <v>3091608</v>
      </c>
      <c r="X24" s="1016" t="s">
        <v>25</v>
      </c>
      <c r="Y24" s="1006">
        <f t="shared" si="29"/>
        <v>0</v>
      </c>
      <c r="Z24" s="1006">
        <f t="shared" si="30"/>
        <v>0</v>
      </c>
      <c r="AA24" s="1006">
        <f t="shared" si="31"/>
        <v>0</v>
      </c>
      <c r="AB24" s="1006">
        <f t="shared" si="32"/>
        <v>515268</v>
      </c>
      <c r="AC24" s="1009">
        <f aca="true" t="shared" si="39" ref="AC24:AC32">SUM(Y24:AB24)</f>
        <v>515268</v>
      </c>
      <c r="AD24" s="1006">
        <f t="shared" si="33"/>
        <v>0</v>
      </c>
      <c r="AE24" s="1006">
        <f t="shared" si="34"/>
        <v>0</v>
      </c>
      <c r="AF24" s="1006">
        <f t="shared" si="35"/>
        <v>0</v>
      </c>
      <c r="AG24" s="1006">
        <f t="shared" si="36"/>
        <v>360687.6</v>
      </c>
      <c r="AH24" s="1009">
        <f aca="true" t="shared" si="40" ref="AH24:AH32">SUM(AD24:AG24)</f>
        <v>360687.6</v>
      </c>
      <c r="AM24" s="1301"/>
      <c r="AQ24" s="1303"/>
      <c r="AS24" s="1301"/>
      <c r="AY24" s="1279"/>
      <c r="AZ24" s="1279"/>
      <c r="BA24" s="1279"/>
      <c r="BB24" s="1279"/>
      <c r="BC24" s="1279"/>
      <c r="BD24" s="1279"/>
      <c r="BE24" s="1279"/>
      <c r="BF24" s="1279"/>
      <c r="BG24" s="1279"/>
      <c r="BH24" s="1279"/>
      <c r="BI24" s="1279"/>
      <c r="BJ24" s="1279"/>
      <c r="BK24" s="1279"/>
      <c r="BL24" s="1279"/>
      <c r="BM24" s="1279"/>
      <c r="BN24" s="1279"/>
      <c r="BO24" s="1279"/>
      <c r="BP24" s="1279"/>
      <c r="BQ24" s="1279"/>
      <c r="BR24" s="1279"/>
      <c r="BS24" s="1279"/>
      <c r="BT24" s="1279"/>
      <c r="BU24" s="1279"/>
      <c r="BV24" s="1279"/>
      <c r="BW24" s="1279"/>
      <c r="BX24" s="1279"/>
      <c r="BY24" s="1279"/>
      <c r="BZ24" s="1279"/>
      <c r="CA24" s="1279"/>
      <c r="CB24" s="1279"/>
      <c r="CC24" s="1279"/>
      <c r="CD24" s="1279"/>
      <c r="CE24" s="1279"/>
      <c r="CF24" s="1279"/>
      <c r="CG24" s="1279"/>
      <c r="CH24" s="1279"/>
      <c r="CI24" s="1279"/>
      <c r="CJ24" s="1279"/>
      <c r="CK24" s="1279"/>
      <c r="CL24" s="1279"/>
      <c r="CM24" s="1279"/>
      <c r="CN24" s="1279"/>
      <c r="CO24" s="1279"/>
      <c r="CP24" s="1279"/>
      <c r="CQ24" s="1279"/>
      <c r="CR24" s="1279"/>
      <c r="CS24" s="1279"/>
      <c r="CT24" s="1279"/>
      <c r="CU24" s="1279"/>
      <c r="CV24" s="1279"/>
      <c r="CW24" s="1279"/>
      <c r="CX24" s="1279"/>
      <c r="CY24" s="1279"/>
      <c r="CZ24" s="1279"/>
      <c r="DA24" s="1279"/>
      <c r="DB24" s="1279"/>
      <c r="DC24" s="1279"/>
      <c r="DD24" s="1279"/>
      <c r="DE24" s="1279"/>
      <c r="DF24" s="1279"/>
      <c r="DG24" s="1279"/>
      <c r="DH24" s="1279"/>
      <c r="DI24" s="1279"/>
      <c r="DJ24" s="1279"/>
      <c r="DK24" s="1279"/>
      <c r="DL24" s="1279"/>
      <c r="DM24" s="1279"/>
      <c r="DN24" s="1279"/>
      <c r="DO24" s="1279"/>
      <c r="DP24" s="1279"/>
      <c r="DQ24" s="1279"/>
      <c r="DR24" s="1279"/>
      <c r="DS24" s="1279"/>
      <c r="DT24" s="1279"/>
      <c r="DU24" s="1279"/>
      <c r="DV24" s="1279"/>
      <c r="DW24" s="1279"/>
      <c r="DX24" s="1279"/>
      <c r="DY24" s="1279"/>
      <c r="DZ24" s="1279"/>
      <c r="EA24" s="1279"/>
      <c r="EB24" s="1279"/>
      <c r="EC24" s="1279"/>
      <c r="ED24" s="1279"/>
      <c r="EE24" s="1279"/>
      <c r="EF24" s="1279"/>
      <c r="EG24" s="1279"/>
      <c r="EH24" s="1279"/>
      <c r="EI24" s="1279"/>
      <c r="EJ24" s="1279"/>
      <c r="EK24" s="1279"/>
      <c r="EL24" s="1279"/>
      <c r="EM24" s="1279"/>
      <c r="EN24" s="1279"/>
      <c r="EO24" s="1279"/>
    </row>
    <row r="25" spans="1:145" ht="15" hidden="1">
      <c r="A25" s="1314" t="s">
        <v>36</v>
      </c>
      <c r="B25" s="1028">
        <v>55</v>
      </c>
      <c r="C25" s="645">
        <f>'Line Item Descriptions'!F24</f>
        <v>240</v>
      </c>
      <c r="D25" s="1218">
        <v>240</v>
      </c>
      <c r="E25" s="1214">
        <f>'Reference Data'!$B$6</f>
        <v>42939</v>
      </c>
      <c r="F25" s="1219">
        <v>37829</v>
      </c>
      <c r="G25" s="1047">
        <f t="shared" si="37"/>
        <v>515268</v>
      </c>
      <c r="H25" s="1170">
        <v>453948</v>
      </c>
      <c r="I25" s="1003">
        <f t="shared" si="20"/>
        <v>12</v>
      </c>
      <c r="J25" s="1138">
        <v>12</v>
      </c>
      <c r="K25" s="1002">
        <f t="shared" si="38"/>
        <v>515268</v>
      </c>
      <c r="L25" s="1136">
        <v>453948</v>
      </c>
      <c r="M25" s="1206"/>
      <c r="N25" s="1048">
        <v>20</v>
      </c>
      <c r="O25" s="1015">
        <f t="shared" si="21"/>
        <v>360687.6</v>
      </c>
      <c r="P25" s="1006">
        <f t="shared" si="22"/>
        <v>3091608</v>
      </c>
      <c r="Q25" s="1006">
        <f t="shared" si="23"/>
        <v>2009545.2000000002</v>
      </c>
      <c r="R25" s="1007" t="s">
        <v>34</v>
      </c>
      <c r="S25" s="1006">
        <f t="shared" si="24"/>
        <v>0</v>
      </c>
      <c r="T25" s="1006">
        <f t="shared" si="25"/>
        <v>0</v>
      </c>
      <c r="U25" s="1006">
        <f t="shared" si="26"/>
        <v>0</v>
      </c>
      <c r="V25" s="1006">
        <f t="shared" si="27"/>
        <v>3091608</v>
      </c>
      <c r="W25" s="1006">
        <f t="shared" si="28"/>
        <v>3091608</v>
      </c>
      <c r="X25" s="1016" t="s">
        <v>25</v>
      </c>
      <c r="Y25" s="1006">
        <f t="shared" si="29"/>
        <v>0</v>
      </c>
      <c r="Z25" s="1006">
        <f t="shared" si="30"/>
        <v>0</v>
      </c>
      <c r="AA25" s="1006">
        <f t="shared" si="31"/>
        <v>0</v>
      </c>
      <c r="AB25" s="1006">
        <f t="shared" si="32"/>
        <v>515268</v>
      </c>
      <c r="AC25" s="1009">
        <f t="shared" si="39"/>
        <v>515268</v>
      </c>
      <c r="AD25" s="1006">
        <f t="shared" si="33"/>
        <v>0</v>
      </c>
      <c r="AE25" s="1006">
        <f t="shared" si="34"/>
        <v>0</v>
      </c>
      <c r="AF25" s="1006">
        <f t="shared" si="35"/>
        <v>0</v>
      </c>
      <c r="AG25" s="1006">
        <f t="shared" si="36"/>
        <v>360687.6</v>
      </c>
      <c r="AH25" s="1009">
        <f t="shared" si="40"/>
        <v>360687.6</v>
      </c>
      <c r="AM25" s="1301"/>
      <c r="AQ25" s="1303"/>
      <c r="AS25" s="1301"/>
      <c r="AY25" s="1279"/>
      <c r="AZ25" s="1279"/>
      <c r="BA25" s="1279"/>
      <c r="BB25" s="1279"/>
      <c r="BC25" s="1279"/>
      <c r="BD25" s="1279"/>
      <c r="BE25" s="1279"/>
      <c r="BF25" s="1279"/>
      <c r="BG25" s="1279"/>
      <c r="BH25" s="1279"/>
      <c r="BI25" s="1279"/>
      <c r="BJ25" s="1279"/>
      <c r="BK25" s="1279"/>
      <c r="BL25" s="1279"/>
      <c r="BM25" s="1279"/>
      <c r="BN25" s="1279"/>
      <c r="BO25" s="1279"/>
      <c r="BP25" s="1279"/>
      <c r="BQ25" s="1279"/>
      <c r="BR25" s="1279"/>
      <c r="BS25" s="1279"/>
      <c r="BT25" s="1279"/>
      <c r="BU25" s="1279"/>
      <c r="BV25" s="1279"/>
      <c r="BW25" s="1279"/>
      <c r="BX25" s="1279"/>
      <c r="BY25" s="1279"/>
      <c r="BZ25" s="1279"/>
      <c r="CA25" s="1279"/>
      <c r="CB25" s="1279"/>
      <c r="CC25" s="1279"/>
      <c r="CD25" s="1279"/>
      <c r="CE25" s="1279"/>
      <c r="CF25" s="1279"/>
      <c r="CG25" s="1279"/>
      <c r="CH25" s="1279"/>
      <c r="CI25" s="1279"/>
      <c r="CJ25" s="1279"/>
      <c r="CK25" s="1279"/>
      <c r="CL25" s="1279"/>
      <c r="CM25" s="1279"/>
      <c r="CN25" s="1279"/>
      <c r="CO25" s="1279"/>
      <c r="CP25" s="1279"/>
      <c r="CQ25" s="1279"/>
      <c r="CR25" s="1279"/>
      <c r="CS25" s="1279"/>
      <c r="CT25" s="1279"/>
      <c r="CU25" s="1279"/>
      <c r="CV25" s="1279"/>
      <c r="CW25" s="1279"/>
      <c r="CX25" s="1279"/>
      <c r="CY25" s="1279"/>
      <c r="CZ25" s="1279"/>
      <c r="DA25" s="1279"/>
      <c r="DB25" s="1279"/>
      <c r="DC25" s="1279"/>
      <c r="DD25" s="1279"/>
      <c r="DE25" s="1279"/>
      <c r="DF25" s="1279"/>
      <c r="DG25" s="1279"/>
      <c r="DH25" s="1279"/>
      <c r="DI25" s="1279"/>
      <c r="DJ25" s="1279"/>
      <c r="DK25" s="1279"/>
      <c r="DL25" s="1279"/>
      <c r="DM25" s="1279"/>
      <c r="DN25" s="1279"/>
      <c r="DO25" s="1279"/>
      <c r="DP25" s="1279"/>
      <c r="DQ25" s="1279"/>
      <c r="DR25" s="1279"/>
      <c r="DS25" s="1279"/>
      <c r="DT25" s="1279"/>
      <c r="DU25" s="1279"/>
      <c r="DV25" s="1279"/>
      <c r="DW25" s="1279"/>
      <c r="DX25" s="1279"/>
      <c r="DY25" s="1279"/>
      <c r="DZ25" s="1279"/>
      <c r="EA25" s="1279"/>
      <c r="EB25" s="1279"/>
      <c r="EC25" s="1279"/>
      <c r="ED25" s="1279"/>
      <c r="EE25" s="1279"/>
      <c r="EF25" s="1279"/>
      <c r="EG25" s="1279"/>
      <c r="EH25" s="1279"/>
      <c r="EI25" s="1279"/>
      <c r="EJ25" s="1279"/>
      <c r="EK25" s="1279"/>
      <c r="EL25" s="1279"/>
      <c r="EM25" s="1279"/>
      <c r="EN25" s="1279"/>
      <c r="EO25" s="1279"/>
    </row>
    <row r="26" spans="1:145" ht="15" hidden="1">
      <c r="A26" s="1314" t="s">
        <v>37</v>
      </c>
      <c r="B26" s="1028">
        <v>55</v>
      </c>
      <c r="C26" s="645">
        <f>'Line Item Descriptions'!F25</f>
        <v>240</v>
      </c>
      <c r="D26" s="1218">
        <v>240</v>
      </c>
      <c r="E26" s="1214">
        <f>'Reference Data'!E36+('Reference Data'!E36*0.5)</f>
        <v>296588.5315</v>
      </c>
      <c r="F26" s="1219">
        <v>143591</v>
      </c>
      <c r="G26" s="1047">
        <f t="shared" si="37"/>
        <v>3559062.3780000005</v>
      </c>
      <c r="H26" s="1170">
        <v>1723092</v>
      </c>
      <c r="I26" s="1003">
        <f t="shared" si="20"/>
        <v>12</v>
      </c>
      <c r="J26" s="1138">
        <v>12</v>
      </c>
      <c r="K26" s="1002">
        <f t="shared" si="38"/>
        <v>3559062.378</v>
      </c>
      <c r="L26" s="1136">
        <v>1723092</v>
      </c>
      <c r="M26" s="1206"/>
      <c r="N26" s="1048">
        <v>20</v>
      </c>
      <c r="O26" s="1015">
        <f t="shared" si="21"/>
        <v>2491343.6646</v>
      </c>
      <c r="P26" s="1006">
        <f t="shared" si="22"/>
        <v>21354374.268</v>
      </c>
      <c r="Q26" s="1006">
        <f t="shared" si="23"/>
        <v>13880343.2742</v>
      </c>
      <c r="R26" s="1007" t="s">
        <v>34</v>
      </c>
      <c r="S26" s="1006">
        <f t="shared" si="24"/>
        <v>0</v>
      </c>
      <c r="T26" s="1006">
        <f t="shared" si="25"/>
        <v>0</v>
      </c>
      <c r="U26" s="1006">
        <f t="shared" si="26"/>
        <v>0</v>
      </c>
      <c r="V26" s="1006">
        <f t="shared" si="27"/>
        <v>21354374.268</v>
      </c>
      <c r="W26" s="1006">
        <f t="shared" si="28"/>
        <v>21354374.268</v>
      </c>
      <c r="X26" s="1016" t="s">
        <v>25</v>
      </c>
      <c r="Y26" s="1006">
        <f t="shared" si="29"/>
        <v>0</v>
      </c>
      <c r="Z26" s="1006">
        <f t="shared" si="30"/>
        <v>0</v>
      </c>
      <c r="AA26" s="1006">
        <f t="shared" si="31"/>
        <v>0</v>
      </c>
      <c r="AB26" s="1006">
        <f t="shared" si="32"/>
        <v>3559062.378</v>
      </c>
      <c r="AC26" s="1009">
        <f t="shared" si="39"/>
        <v>3559062.378</v>
      </c>
      <c r="AD26" s="1006">
        <f t="shared" si="33"/>
        <v>0</v>
      </c>
      <c r="AE26" s="1006">
        <f t="shared" si="34"/>
        <v>0</v>
      </c>
      <c r="AF26" s="1006">
        <f t="shared" si="35"/>
        <v>0</v>
      </c>
      <c r="AG26" s="1006">
        <f t="shared" si="36"/>
        <v>2491343.6646</v>
      </c>
      <c r="AH26" s="1009">
        <f t="shared" si="40"/>
        <v>2491343.6646</v>
      </c>
      <c r="AM26" s="1301"/>
      <c r="AQ26" s="1303"/>
      <c r="AS26" s="1301"/>
      <c r="AY26" s="1279"/>
      <c r="AZ26" s="1279"/>
      <c r="BA26" s="1279"/>
      <c r="BB26" s="1279"/>
      <c r="BC26" s="1279"/>
      <c r="BD26" s="1279"/>
      <c r="BE26" s="1279"/>
      <c r="BF26" s="1279"/>
      <c r="BG26" s="1279"/>
      <c r="BH26" s="1279"/>
      <c r="BI26" s="1279"/>
      <c r="BJ26" s="1279"/>
      <c r="BK26" s="1279"/>
      <c r="BL26" s="1279"/>
      <c r="BM26" s="1279"/>
      <c r="BN26" s="1279"/>
      <c r="BO26" s="1279"/>
      <c r="BP26" s="1279"/>
      <c r="BQ26" s="1279"/>
      <c r="BR26" s="1279"/>
      <c r="BS26" s="1279"/>
      <c r="BT26" s="1279"/>
      <c r="BU26" s="1279"/>
      <c r="BV26" s="1279"/>
      <c r="BW26" s="1279"/>
      <c r="BX26" s="1279"/>
      <c r="BY26" s="1279"/>
      <c r="BZ26" s="1279"/>
      <c r="CA26" s="1279"/>
      <c r="CB26" s="1279"/>
      <c r="CC26" s="1279"/>
      <c r="CD26" s="1279"/>
      <c r="CE26" s="1279"/>
      <c r="CF26" s="1279"/>
      <c r="CG26" s="1279"/>
      <c r="CH26" s="1279"/>
      <c r="CI26" s="1279"/>
      <c r="CJ26" s="1279"/>
      <c r="CK26" s="1279"/>
      <c r="CL26" s="1279"/>
      <c r="CM26" s="1279"/>
      <c r="CN26" s="1279"/>
      <c r="CO26" s="1279"/>
      <c r="CP26" s="1279"/>
      <c r="CQ26" s="1279"/>
      <c r="CR26" s="1279"/>
      <c r="CS26" s="1279"/>
      <c r="CT26" s="1279"/>
      <c r="CU26" s="1279"/>
      <c r="CV26" s="1279"/>
      <c r="CW26" s="1279"/>
      <c r="CX26" s="1279"/>
      <c r="CY26" s="1279"/>
      <c r="CZ26" s="1279"/>
      <c r="DA26" s="1279"/>
      <c r="DB26" s="1279"/>
      <c r="DC26" s="1279"/>
      <c r="DD26" s="1279"/>
      <c r="DE26" s="1279"/>
      <c r="DF26" s="1279"/>
      <c r="DG26" s="1279"/>
      <c r="DH26" s="1279"/>
      <c r="DI26" s="1279"/>
      <c r="DJ26" s="1279"/>
      <c r="DK26" s="1279"/>
      <c r="DL26" s="1279"/>
      <c r="DM26" s="1279"/>
      <c r="DN26" s="1279"/>
      <c r="DO26" s="1279"/>
      <c r="DP26" s="1279"/>
      <c r="DQ26" s="1279"/>
      <c r="DR26" s="1279"/>
      <c r="DS26" s="1279"/>
      <c r="DT26" s="1279"/>
      <c r="DU26" s="1279"/>
      <c r="DV26" s="1279"/>
      <c r="DW26" s="1279"/>
      <c r="DX26" s="1279"/>
      <c r="DY26" s="1279"/>
      <c r="DZ26" s="1279"/>
      <c r="EA26" s="1279"/>
      <c r="EB26" s="1279"/>
      <c r="EC26" s="1279"/>
      <c r="ED26" s="1279"/>
      <c r="EE26" s="1279"/>
      <c r="EF26" s="1279"/>
      <c r="EG26" s="1279"/>
      <c r="EH26" s="1279"/>
      <c r="EI26" s="1279"/>
      <c r="EJ26" s="1279"/>
      <c r="EK26" s="1279"/>
      <c r="EL26" s="1279"/>
      <c r="EM26" s="1279"/>
      <c r="EN26" s="1279"/>
      <c r="EO26" s="1279"/>
    </row>
    <row r="27" spans="1:145" ht="15" hidden="1">
      <c r="A27" s="1314" t="s">
        <v>38</v>
      </c>
      <c r="B27" s="1028">
        <v>55</v>
      </c>
      <c r="C27" s="645">
        <f>'Line Item Descriptions'!F26</f>
        <v>240</v>
      </c>
      <c r="D27" s="1218">
        <v>240</v>
      </c>
      <c r="E27" s="1214">
        <f>'Reference Data'!$E$72+('Reference Data'!$E$72*0.5)+'Reference Data'!E84+'Reference Data'!E81+'Reference Data'!B235</f>
        <v>12191.5</v>
      </c>
      <c r="F27" s="1219">
        <v>13797</v>
      </c>
      <c r="G27" s="1047">
        <f t="shared" si="37"/>
        <v>146298</v>
      </c>
      <c r="H27" s="1170">
        <v>165564</v>
      </c>
      <c r="I27" s="1003">
        <f t="shared" si="20"/>
        <v>12</v>
      </c>
      <c r="J27" s="1138">
        <v>12</v>
      </c>
      <c r="K27" s="1002">
        <f t="shared" si="38"/>
        <v>146298</v>
      </c>
      <c r="L27" s="1136">
        <v>165564</v>
      </c>
      <c r="M27" s="1206"/>
      <c r="N27" s="1048">
        <v>20</v>
      </c>
      <c r="O27" s="1015">
        <f t="shared" si="21"/>
        <v>102408.59999999999</v>
      </c>
      <c r="P27" s="1006">
        <f t="shared" si="22"/>
        <v>877788</v>
      </c>
      <c r="Q27" s="1006">
        <f t="shared" si="23"/>
        <v>570562.2</v>
      </c>
      <c r="R27" s="1007" t="s">
        <v>34</v>
      </c>
      <c r="S27" s="1006">
        <f t="shared" si="24"/>
        <v>0</v>
      </c>
      <c r="T27" s="1006">
        <f t="shared" si="25"/>
        <v>0</v>
      </c>
      <c r="U27" s="1006">
        <f t="shared" si="26"/>
        <v>0</v>
      </c>
      <c r="V27" s="1006">
        <f t="shared" si="27"/>
        <v>877788</v>
      </c>
      <c r="W27" s="1006">
        <f t="shared" si="28"/>
        <v>877788</v>
      </c>
      <c r="X27" s="1016" t="s">
        <v>25</v>
      </c>
      <c r="Y27" s="1006">
        <f t="shared" si="29"/>
        <v>0</v>
      </c>
      <c r="Z27" s="1006">
        <f t="shared" si="30"/>
        <v>0</v>
      </c>
      <c r="AA27" s="1006">
        <f t="shared" si="31"/>
        <v>0</v>
      </c>
      <c r="AB27" s="1006">
        <f t="shared" si="32"/>
        <v>146298</v>
      </c>
      <c r="AC27" s="1009">
        <f t="shared" si="39"/>
        <v>146298</v>
      </c>
      <c r="AD27" s="1006">
        <f t="shared" si="33"/>
        <v>0</v>
      </c>
      <c r="AE27" s="1006">
        <f t="shared" si="34"/>
        <v>0</v>
      </c>
      <c r="AF27" s="1006">
        <f t="shared" si="35"/>
        <v>0</v>
      </c>
      <c r="AG27" s="1006">
        <f t="shared" si="36"/>
        <v>102408.59999999999</v>
      </c>
      <c r="AH27" s="1009">
        <f t="shared" si="40"/>
        <v>102408.59999999999</v>
      </c>
      <c r="AM27" s="1301"/>
      <c r="AQ27" s="1303"/>
      <c r="AS27" s="1301"/>
      <c r="AY27" s="1279"/>
      <c r="AZ27" s="1279"/>
      <c r="BA27" s="1279"/>
      <c r="BB27" s="1279"/>
      <c r="BC27" s="1279"/>
      <c r="BD27" s="1279"/>
      <c r="BE27" s="1279"/>
      <c r="BF27" s="1279"/>
      <c r="BG27" s="1279"/>
      <c r="BH27" s="1279"/>
      <c r="BI27" s="1279"/>
      <c r="BJ27" s="1279"/>
      <c r="BK27" s="1279"/>
      <c r="BL27" s="1279"/>
      <c r="BM27" s="1279"/>
      <c r="BN27" s="1279"/>
      <c r="BO27" s="1279"/>
      <c r="BP27" s="1279"/>
      <c r="BQ27" s="1279"/>
      <c r="BR27" s="1279"/>
      <c r="BS27" s="1279"/>
      <c r="BT27" s="1279"/>
      <c r="BU27" s="1279"/>
      <c r="BV27" s="1279"/>
      <c r="BW27" s="1279"/>
      <c r="BX27" s="1279"/>
      <c r="BY27" s="1279"/>
      <c r="BZ27" s="1279"/>
      <c r="CA27" s="1279"/>
      <c r="CB27" s="1279"/>
      <c r="CC27" s="1279"/>
      <c r="CD27" s="1279"/>
      <c r="CE27" s="1279"/>
      <c r="CF27" s="1279"/>
      <c r="CG27" s="1279"/>
      <c r="CH27" s="1279"/>
      <c r="CI27" s="1279"/>
      <c r="CJ27" s="1279"/>
      <c r="CK27" s="1279"/>
      <c r="CL27" s="1279"/>
      <c r="CM27" s="1279"/>
      <c r="CN27" s="1279"/>
      <c r="CO27" s="1279"/>
      <c r="CP27" s="1279"/>
      <c r="CQ27" s="1279"/>
      <c r="CR27" s="1279"/>
      <c r="CS27" s="1279"/>
      <c r="CT27" s="1279"/>
      <c r="CU27" s="1279"/>
      <c r="CV27" s="1279"/>
      <c r="CW27" s="1279"/>
      <c r="CX27" s="1279"/>
      <c r="CY27" s="1279"/>
      <c r="CZ27" s="1279"/>
      <c r="DA27" s="1279"/>
      <c r="DB27" s="1279"/>
      <c r="DC27" s="1279"/>
      <c r="DD27" s="1279"/>
      <c r="DE27" s="1279"/>
      <c r="DF27" s="1279"/>
      <c r="DG27" s="1279"/>
      <c r="DH27" s="1279"/>
      <c r="DI27" s="1279"/>
      <c r="DJ27" s="1279"/>
      <c r="DK27" s="1279"/>
      <c r="DL27" s="1279"/>
      <c r="DM27" s="1279"/>
      <c r="DN27" s="1279"/>
      <c r="DO27" s="1279"/>
      <c r="DP27" s="1279"/>
      <c r="DQ27" s="1279"/>
      <c r="DR27" s="1279"/>
      <c r="DS27" s="1279"/>
      <c r="DT27" s="1279"/>
      <c r="DU27" s="1279"/>
      <c r="DV27" s="1279"/>
      <c r="DW27" s="1279"/>
      <c r="DX27" s="1279"/>
      <c r="DY27" s="1279"/>
      <c r="DZ27" s="1279"/>
      <c r="EA27" s="1279"/>
      <c r="EB27" s="1279"/>
      <c r="EC27" s="1279"/>
      <c r="ED27" s="1279"/>
      <c r="EE27" s="1279"/>
      <c r="EF27" s="1279"/>
      <c r="EG27" s="1279"/>
      <c r="EH27" s="1279"/>
      <c r="EI27" s="1279"/>
      <c r="EJ27" s="1279"/>
      <c r="EK27" s="1279"/>
      <c r="EL27" s="1279"/>
      <c r="EM27" s="1279"/>
      <c r="EN27" s="1279"/>
      <c r="EO27" s="1279"/>
    </row>
    <row r="28" spans="1:145" ht="15" hidden="1">
      <c r="A28" s="1314" t="s">
        <v>39</v>
      </c>
      <c r="B28" s="1028">
        <v>55</v>
      </c>
      <c r="C28" s="645">
        <v>240</v>
      </c>
      <c r="D28" s="1218">
        <v>240</v>
      </c>
      <c r="E28" s="1214">
        <f>'Reference Data'!B3*2</f>
        <v>2494</v>
      </c>
      <c r="F28" s="1219">
        <v>2832</v>
      </c>
      <c r="G28" s="1047">
        <f t="shared" si="37"/>
        <v>29928</v>
      </c>
      <c r="H28" s="1170">
        <v>33984</v>
      </c>
      <c r="I28" s="1003">
        <f t="shared" si="20"/>
        <v>12</v>
      </c>
      <c r="J28" s="1138">
        <v>12</v>
      </c>
      <c r="K28" s="1002">
        <f t="shared" si="38"/>
        <v>29928</v>
      </c>
      <c r="L28" s="1136">
        <v>33984</v>
      </c>
      <c r="N28" s="1048">
        <v>20</v>
      </c>
      <c r="O28" s="1015">
        <f t="shared" si="21"/>
        <v>20949.6</v>
      </c>
      <c r="P28" s="1006">
        <f t="shared" si="22"/>
        <v>179568</v>
      </c>
      <c r="Q28" s="1006">
        <f t="shared" si="23"/>
        <v>116719.20000000001</v>
      </c>
      <c r="R28" s="1007" t="s">
        <v>34</v>
      </c>
      <c r="S28" s="1006">
        <f t="shared" si="24"/>
        <v>0</v>
      </c>
      <c r="T28" s="1006">
        <f t="shared" si="25"/>
        <v>0</v>
      </c>
      <c r="U28" s="1006">
        <f t="shared" si="26"/>
        <v>0</v>
      </c>
      <c r="V28" s="1006">
        <f t="shared" si="27"/>
        <v>179568</v>
      </c>
      <c r="W28" s="1006">
        <f t="shared" si="28"/>
        <v>179568</v>
      </c>
      <c r="X28" s="1016" t="s">
        <v>25</v>
      </c>
      <c r="Y28" s="1006">
        <f t="shared" si="29"/>
        <v>0</v>
      </c>
      <c r="Z28" s="1006">
        <f t="shared" si="30"/>
        <v>0</v>
      </c>
      <c r="AA28" s="1006">
        <f t="shared" si="31"/>
        <v>0</v>
      </c>
      <c r="AB28" s="1006">
        <f t="shared" si="32"/>
        <v>29928</v>
      </c>
      <c r="AC28" s="1009">
        <f t="shared" si="39"/>
        <v>29928</v>
      </c>
      <c r="AD28" s="1006">
        <f t="shared" si="33"/>
        <v>0</v>
      </c>
      <c r="AE28" s="1006">
        <f t="shared" si="34"/>
        <v>0</v>
      </c>
      <c r="AF28" s="1006">
        <f t="shared" si="35"/>
        <v>0</v>
      </c>
      <c r="AG28" s="1006">
        <f t="shared" si="36"/>
        <v>20949.6</v>
      </c>
      <c r="AH28" s="1009">
        <f t="shared" si="40"/>
        <v>20949.6</v>
      </c>
      <c r="AM28" s="1301"/>
      <c r="AQ28" s="1303"/>
      <c r="AS28" s="1301"/>
      <c r="AY28" s="1279"/>
      <c r="AZ28" s="1279"/>
      <c r="BA28" s="1279"/>
      <c r="BB28" s="1279"/>
      <c r="BC28" s="1279"/>
      <c r="BD28" s="1279"/>
      <c r="BE28" s="1279"/>
      <c r="BF28" s="1279"/>
      <c r="BG28" s="1279"/>
      <c r="BH28" s="1279"/>
      <c r="BI28" s="1279"/>
      <c r="BJ28" s="1279"/>
      <c r="BK28" s="1279"/>
      <c r="BL28" s="1279"/>
      <c r="BM28" s="1279"/>
      <c r="BN28" s="1279"/>
      <c r="BO28" s="1279"/>
      <c r="BP28" s="1279"/>
      <c r="BQ28" s="1279"/>
      <c r="BR28" s="1279"/>
      <c r="BS28" s="1279"/>
      <c r="BT28" s="1279"/>
      <c r="BU28" s="1279"/>
      <c r="BV28" s="1279"/>
      <c r="BW28" s="1279"/>
      <c r="BX28" s="1279"/>
      <c r="BY28" s="1279"/>
      <c r="BZ28" s="1279"/>
      <c r="CA28" s="1279"/>
      <c r="CB28" s="1279"/>
      <c r="CC28" s="1279"/>
      <c r="CD28" s="1279"/>
      <c r="CE28" s="1279"/>
      <c r="CF28" s="1279"/>
      <c r="CG28" s="1279"/>
      <c r="CH28" s="1279"/>
      <c r="CI28" s="1279"/>
      <c r="CJ28" s="1279"/>
      <c r="CK28" s="1279"/>
      <c r="CL28" s="1279"/>
      <c r="CM28" s="1279"/>
      <c r="CN28" s="1279"/>
      <c r="CO28" s="1279"/>
      <c r="CP28" s="1279"/>
      <c r="CQ28" s="1279"/>
      <c r="CR28" s="1279"/>
      <c r="CS28" s="1279"/>
      <c r="CT28" s="1279"/>
      <c r="CU28" s="1279"/>
      <c r="CV28" s="1279"/>
      <c r="CW28" s="1279"/>
      <c r="CX28" s="1279"/>
      <c r="CY28" s="1279"/>
      <c r="CZ28" s="1279"/>
      <c r="DA28" s="1279"/>
      <c r="DB28" s="1279"/>
      <c r="DC28" s="1279"/>
      <c r="DD28" s="1279"/>
      <c r="DE28" s="1279"/>
      <c r="DF28" s="1279"/>
      <c r="DG28" s="1279"/>
      <c r="DH28" s="1279"/>
      <c r="DI28" s="1279"/>
      <c r="DJ28" s="1279"/>
      <c r="DK28" s="1279"/>
      <c r="DL28" s="1279"/>
      <c r="DM28" s="1279"/>
      <c r="DN28" s="1279"/>
      <c r="DO28" s="1279"/>
      <c r="DP28" s="1279"/>
      <c r="DQ28" s="1279"/>
      <c r="DR28" s="1279"/>
      <c r="DS28" s="1279"/>
      <c r="DT28" s="1279"/>
      <c r="DU28" s="1279"/>
      <c r="DV28" s="1279"/>
      <c r="DW28" s="1279"/>
      <c r="DX28" s="1279"/>
      <c r="DY28" s="1279"/>
      <c r="DZ28" s="1279"/>
      <c r="EA28" s="1279"/>
      <c r="EB28" s="1279"/>
      <c r="EC28" s="1279"/>
      <c r="ED28" s="1279"/>
      <c r="EE28" s="1279"/>
      <c r="EF28" s="1279"/>
      <c r="EG28" s="1279"/>
      <c r="EH28" s="1279"/>
      <c r="EI28" s="1279"/>
      <c r="EJ28" s="1279"/>
      <c r="EK28" s="1279"/>
      <c r="EL28" s="1279"/>
      <c r="EM28" s="1279"/>
      <c r="EN28" s="1279"/>
      <c r="EO28" s="1279"/>
    </row>
    <row r="29" spans="1:145" ht="15">
      <c r="A29" s="1011" t="s">
        <v>1864</v>
      </c>
      <c r="B29" s="1028"/>
      <c r="C29" s="645">
        <f>'Line Item Descriptions'!F22</f>
        <v>240</v>
      </c>
      <c r="D29" s="1218"/>
      <c r="E29" s="1001">
        <f>SUM(E23:E28)</f>
        <v>465575.8715</v>
      </c>
      <c r="F29" s="1219"/>
      <c r="G29" s="1047">
        <f t="shared" si="37"/>
        <v>5586910.458000001</v>
      </c>
      <c r="H29" s="1170"/>
      <c r="I29" s="1003">
        <f t="shared" si="20"/>
        <v>11.999999999999998</v>
      </c>
      <c r="J29" s="1138"/>
      <c r="K29" s="1002">
        <f t="shared" si="38"/>
        <v>5586910.458</v>
      </c>
      <c r="L29" s="1136"/>
      <c r="M29" s="1002">
        <f>'TAR Numbers'!V10+'TAR Numbers'!W10</f>
        <v>1341501.6700000002</v>
      </c>
      <c r="N29" s="1048">
        <v>20</v>
      </c>
      <c r="O29" s="1015">
        <f>SUM(O23:O28)</f>
        <v>3910837.3205999997</v>
      </c>
      <c r="P29" s="1006">
        <f>SUM(P23:P28)</f>
        <v>33521462.748</v>
      </c>
      <c r="Q29" s="1006">
        <f>SUM(Q23:Q28)</f>
        <v>21788950.786199998</v>
      </c>
      <c r="R29" s="1007" t="s">
        <v>34</v>
      </c>
      <c r="S29" s="1006"/>
      <c r="T29" s="1006"/>
      <c r="U29" s="1006"/>
      <c r="V29" s="1006"/>
      <c r="W29" s="1006"/>
      <c r="X29" s="1016"/>
      <c r="Y29" s="1006">
        <f t="shared" si="29"/>
        <v>0</v>
      </c>
      <c r="Z29" s="1006">
        <f t="shared" si="30"/>
        <v>0</v>
      </c>
      <c r="AA29" s="1006">
        <f t="shared" si="31"/>
        <v>0</v>
      </c>
      <c r="AB29" s="1006">
        <f t="shared" si="32"/>
        <v>5586910.458</v>
      </c>
      <c r="AC29" s="1009">
        <f t="shared" si="39"/>
        <v>5586910.458</v>
      </c>
      <c r="AD29" s="1006">
        <f t="shared" si="33"/>
        <v>0</v>
      </c>
      <c r="AE29" s="1006">
        <f t="shared" si="34"/>
        <v>0</v>
      </c>
      <c r="AF29" s="1006">
        <f t="shared" si="35"/>
        <v>0</v>
      </c>
      <c r="AG29" s="1006">
        <f t="shared" si="36"/>
        <v>3910837.3205999997</v>
      </c>
      <c r="AH29" s="1009">
        <f t="shared" si="40"/>
        <v>3910837.3205999997</v>
      </c>
      <c r="AM29" s="1301"/>
      <c r="AQ29" s="1303"/>
      <c r="AS29" s="1301"/>
      <c r="AY29" s="1279"/>
      <c r="AZ29" s="1279"/>
      <c r="BA29" s="1279"/>
      <c r="BB29" s="1279"/>
      <c r="BC29" s="1279"/>
      <c r="BD29" s="1279"/>
      <c r="BE29" s="1279"/>
      <c r="BF29" s="1279"/>
      <c r="BG29" s="1279"/>
      <c r="BH29" s="1279"/>
      <c r="BI29" s="1279"/>
      <c r="BJ29" s="1279"/>
      <c r="BK29" s="1279"/>
      <c r="BL29" s="1279"/>
      <c r="BM29" s="1279"/>
      <c r="BN29" s="1279"/>
      <c r="BO29" s="1279"/>
      <c r="BP29" s="1279"/>
      <c r="BQ29" s="1279"/>
      <c r="BR29" s="1279"/>
      <c r="BS29" s="1279"/>
      <c r="BT29" s="1279"/>
      <c r="BU29" s="1279"/>
      <c r="BV29" s="1279"/>
      <c r="BW29" s="1279"/>
      <c r="BX29" s="1279"/>
      <c r="BY29" s="1279"/>
      <c r="BZ29" s="1279"/>
      <c r="CA29" s="1279"/>
      <c r="CB29" s="1279"/>
      <c r="CC29" s="1279"/>
      <c r="CD29" s="1279"/>
      <c r="CE29" s="1279"/>
      <c r="CF29" s="1279"/>
      <c r="CG29" s="1279"/>
      <c r="CH29" s="1279"/>
      <c r="CI29" s="1279"/>
      <c r="CJ29" s="1279"/>
      <c r="CK29" s="1279"/>
      <c r="CL29" s="1279"/>
      <c r="CM29" s="1279"/>
      <c r="CN29" s="1279"/>
      <c r="CO29" s="1279"/>
      <c r="CP29" s="1279"/>
      <c r="CQ29" s="1279"/>
      <c r="CR29" s="1279"/>
      <c r="CS29" s="1279"/>
      <c r="CT29" s="1279"/>
      <c r="CU29" s="1279"/>
      <c r="CV29" s="1279"/>
      <c r="CW29" s="1279"/>
      <c r="CX29" s="1279"/>
      <c r="CY29" s="1279"/>
      <c r="CZ29" s="1279"/>
      <c r="DA29" s="1279"/>
      <c r="DB29" s="1279"/>
      <c r="DC29" s="1279"/>
      <c r="DD29" s="1279"/>
      <c r="DE29" s="1279"/>
      <c r="DF29" s="1279"/>
      <c r="DG29" s="1279"/>
      <c r="DH29" s="1279"/>
      <c r="DI29" s="1279"/>
      <c r="DJ29" s="1279"/>
      <c r="DK29" s="1279"/>
      <c r="DL29" s="1279"/>
      <c r="DM29" s="1279"/>
      <c r="DN29" s="1279"/>
      <c r="DO29" s="1279"/>
      <c r="DP29" s="1279"/>
      <c r="DQ29" s="1279"/>
      <c r="DR29" s="1279"/>
      <c r="DS29" s="1279"/>
      <c r="DT29" s="1279"/>
      <c r="DU29" s="1279"/>
      <c r="DV29" s="1279"/>
      <c r="DW29" s="1279"/>
      <c r="DX29" s="1279"/>
      <c r="DY29" s="1279"/>
      <c r="DZ29" s="1279"/>
      <c r="EA29" s="1279"/>
      <c r="EB29" s="1279"/>
      <c r="EC29" s="1279"/>
      <c r="ED29" s="1279"/>
      <c r="EE29" s="1279"/>
      <c r="EF29" s="1279"/>
      <c r="EG29" s="1279"/>
      <c r="EH29" s="1279"/>
      <c r="EI29" s="1279"/>
      <c r="EJ29" s="1279"/>
      <c r="EK29" s="1279"/>
      <c r="EL29" s="1279"/>
      <c r="EM29" s="1279"/>
      <c r="EN29" s="1279"/>
      <c r="EO29" s="1279"/>
    </row>
    <row r="30" spans="1:145" s="1010" customFormat="1" ht="15">
      <c r="A30" s="1011"/>
      <c r="B30" s="1028"/>
      <c r="C30" s="645"/>
      <c r="D30" s="1218"/>
      <c r="E30" s="1001"/>
      <c r="F30" s="1219"/>
      <c r="G30" s="1047"/>
      <c r="H30" s="1170"/>
      <c r="I30" s="1003"/>
      <c r="J30" s="1138"/>
      <c r="K30" s="1002"/>
      <c r="L30" s="1136"/>
      <c r="M30" s="1002"/>
      <c r="N30" s="1048"/>
      <c r="O30" s="1015"/>
      <c r="P30" s="1006"/>
      <c r="Q30" s="1006"/>
      <c r="R30" s="1007"/>
      <c r="S30" s="1006"/>
      <c r="T30" s="1006"/>
      <c r="U30" s="1006"/>
      <c r="V30" s="1006"/>
      <c r="W30" s="1006"/>
      <c r="X30" s="1016"/>
      <c r="Y30" s="1006"/>
      <c r="Z30" s="1006"/>
      <c r="AA30" s="1006"/>
      <c r="AB30" s="1006"/>
      <c r="AC30" s="1009"/>
      <c r="AD30" s="1006"/>
      <c r="AE30" s="1006"/>
      <c r="AF30" s="1006"/>
      <c r="AG30" s="1006"/>
      <c r="AH30" s="1009"/>
      <c r="AJ30" s="1011" t="s">
        <v>724</v>
      </c>
      <c r="AK30" s="1011">
        <v>92</v>
      </c>
      <c r="AL30" s="863">
        <f>C23</f>
        <v>240</v>
      </c>
      <c r="AM30" s="1177">
        <v>240</v>
      </c>
      <c r="AN30" s="1012">
        <f>((((Number_of_Schools+Number_of_Districts)*20)+(Number_of_Students*0)+(Number_of_Classrooms*8)+((Number_of_Teachers+'Reference Data'!B5)*2))-SUM(E23:E28))</f>
        <v>91650.12849999999</v>
      </c>
      <c r="AQ30" s="1209">
        <v>259173.97999999998</v>
      </c>
      <c r="AR30" s="863">
        <f>SUM(AL30/AU30)*AN30</f>
        <v>1099801.542</v>
      </c>
      <c r="AS30" s="1177">
        <v>3110087.76</v>
      </c>
      <c r="AT30" s="863"/>
      <c r="AU30" s="1007">
        <v>20</v>
      </c>
      <c r="AY30" s="994"/>
      <c r="AZ30" s="994"/>
      <c r="BA30" s="994"/>
      <c r="BB30" s="994"/>
      <c r="BC30" s="994"/>
      <c r="BD30" s="994"/>
      <c r="BE30" s="994"/>
      <c r="BF30" s="994"/>
      <c r="BG30" s="994"/>
      <c r="BH30" s="994"/>
      <c r="BI30" s="994"/>
      <c r="BJ30" s="994"/>
      <c r="BK30" s="994"/>
      <c r="BL30" s="994"/>
      <c r="BM30" s="994"/>
      <c r="BN30" s="994"/>
      <c r="BO30" s="994"/>
      <c r="BP30" s="994"/>
      <c r="BQ30" s="994"/>
      <c r="BR30" s="994"/>
      <c r="BS30" s="994"/>
      <c r="BT30" s="994"/>
      <c r="BU30" s="994"/>
      <c r="BV30" s="994"/>
      <c r="BW30" s="994"/>
      <c r="BX30" s="994"/>
      <c r="BY30" s="994"/>
      <c r="BZ30" s="994"/>
      <c r="CA30" s="994"/>
      <c r="CB30" s="994"/>
      <c r="CC30" s="994"/>
      <c r="CD30" s="994"/>
      <c r="CE30" s="994"/>
      <c r="CF30" s="994"/>
      <c r="CG30" s="994"/>
      <c r="CH30" s="994"/>
      <c r="CI30" s="994"/>
      <c r="CJ30" s="994"/>
      <c r="CK30" s="994"/>
      <c r="CL30" s="994"/>
      <c r="CM30" s="994"/>
      <c r="CN30" s="994"/>
      <c r="CO30" s="994"/>
      <c r="CP30" s="994"/>
      <c r="CQ30" s="994"/>
      <c r="CR30" s="994"/>
      <c r="CS30" s="994"/>
      <c r="CT30" s="994"/>
      <c r="CU30" s="994"/>
      <c r="CV30" s="994"/>
      <c r="CW30" s="994"/>
      <c r="CX30" s="994"/>
      <c r="CY30" s="994"/>
      <c r="CZ30" s="994"/>
      <c r="DA30" s="994"/>
      <c r="DB30" s="994"/>
      <c r="DC30" s="994"/>
      <c r="DD30" s="994"/>
      <c r="DE30" s="994"/>
      <c r="DF30" s="994"/>
      <c r="DG30" s="994"/>
      <c r="DH30" s="994"/>
      <c r="DI30" s="994"/>
      <c r="DJ30" s="994"/>
      <c r="DK30" s="994"/>
      <c r="DL30" s="994"/>
      <c r="DM30" s="994"/>
      <c r="DN30" s="994"/>
      <c r="DO30" s="994"/>
      <c r="DP30" s="994"/>
      <c r="DQ30" s="994"/>
      <c r="DR30" s="994"/>
      <c r="DS30" s="994"/>
      <c r="DT30" s="994"/>
      <c r="DU30" s="994"/>
      <c r="DV30" s="994"/>
      <c r="DW30" s="994"/>
      <c r="DX30" s="994"/>
      <c r="DY30" s="994"/>
      <c r="DZ30" s="994"/>
      <c r="EA30" s="994"/>
      <c r="EB30" s="994"/>
      <c r="EC30" s="994"/>
      <c r="ED30" s="994"/>
      <c r="EE30" s="994"/>
      <c r="EF30" s="994"/>
      <c r="EG30" s="994"/>
      <c r="EH30" s="994"/>
      <c r="EI30" s="994"/>
      <c r="EJ30" s="994"/>
      <c r="EK30" s="994"/>
      <c r="EL30" s="994"/>
      <c r="EM30" s="994"/>
      <c r="EN30" s="994"/>
      <c r="EO30" s="994"/>
    </row>
    <row r="31" spans="1:145" ht="15">
      <c r="A31" s="1011"/>
      <c r="B31" s="1028"/>
      <c r="C31" s="645"/>
      <c r="D31" s="1218"/>
      <c r="F31" s="1219"/>
      <c r="G31" s="1047"/>
      <c r="H31" s="1170"/>
      <c r="I31" s="1003"/>
      <c r="J31" s="1138"/>
      <c r="K31" s="1002"/>
      <c r="L31" s="1136"/>
      <c r="M31" s="1002"/>
      <c r="N31" s="1048"/>
      <c r="O31" s="1015"/>
      <c r="P31" s="1006"/>
      <c r="Q31" s="1006"/>
      <c r="R31" s="1007"/>
      <c r="S31" s="1006"/>
      <c r="T31" s="1006"/>
      <c r="U31" s="1006"/>
      <c r="V31" s="1006"/>
      <c r="W31" s="1006"/>
      <c r="X31" s="1016"/>
      <c r="Y31" s="1006"/>
      <c r="Z31" s="1006"/>
      <c r="AA31" s="1006"/>
      <c r="AB31" s="1006"/>
      <c r="AC31" s="1009"/>
      <c r="AD31" s="1006"/>
      <c r="AE31" s="1006"/>
      <c r="AF31" s="1006"/>
      <c r="AG31" s="1006"/>
      <c r="AH31" s="1009"/>
      <c r="AJ31" s="1253" t="s">
        <v>860</v>
      </c>
      <c r="AM31" s="1301"/>
      <c r="AQ31" s="1303"/>
      <c r="AS31" s="1301"/>
      <c r="AY31" s="1279"/>
      <c r="AZ31" s="1279"/>
      <c r="BA31" s="1279"/>
      <c r="BB31" s="1279"/>
      <c r="BC31" s="1279"/>
      <c r="BD31" s="1279"/>
      <c r="BE31" s="1279"/>
      <c r="BF31" s="1279"/>
      <c r="BG31" s="1279"/>
      <c r="BH31" s="1279"/>
      <c r="BI31" s="1279"/>
      <c r="BJ31" s="1279"/>
      <c r="BK31" s="1279"/>
      <c r="BL31" s="1279"/>
      <c r="BM31" s="1279"/>
      <c r="BN31" s="1279"/>
      <c r="BO31" s="1279"/>
      <c r="BP31" s="1279"/>
      <c r="BQ31" s="1279"/>
      <c r="BR31" s="1279"/>
      <c r="BS31" s="1279"/>
      <c r="BT31" s="1279"/>
      <c r="BU31" s="1279"/>
      <c r="BV31" s="1279"/>
      <c r="BW31" s="1279"/>
      <c r="BX31" s="1279"/>
      <c r="BY31" s="1279"/>
      <c r="BZ31" s="1279"/>
      <c r="CA31" s="1279"/>
      <c r="CB31" s="1279"/>
      <c r="CC31" s="1279"/>
      <c r="CD31" s="1279"/>
      <c r="CE31" s="1279"/>
      <c r="CF31" s="1279"/>
      <c r="CG31" s="1279"/>
      <c r="CH31" s="1279"/>
      <c r="CI31" s="1279"/>
      <c r="CJ31" s="1279"/>
      <c r="CK31" s="1279"/>
      <c r="CL31" s="1279"/>
      <c r="CM31" s="1279"/>
      <c r="CN31" s="1279"/>
      <c r="CO31" s="1279"/>
      <c r="CP31" s="1279"/>
      <c r="CQ31" s="1279"/>
      <c r="CR31" s="1279"/>
      <c r="CS31" s="1279"/>
      <c r="CT31" s="1279"/>
      <c r="CU31" s="1279"/>
      <c r="CV31" s="1279"/>
      <c r="CW31" s="1279"/>
      <c r="CX31" s="1279"/>
      <c r="CY31" s="1279"/>
      <c r="CZ31" s="1279"/>
      <c r="DA31" s="1279"/>
      <c r="DB31" s="1279"/>
      <c r="DC31" s="1279"/>
      <c r="DD31" s="1279"/>
      <c r="DE31" s="1279"/>
      <c r="DF31" s="1279"/>
      <c r="DG31" s="1279"/>
      <c r="DH31" s="1279"/>
      <c r="DI31" s="1279"/>
      <c r="DJ31" s="1279"/>
      <c r="DK31" s="1279"/>
      <c r="DL31" s="1279"/>
      <c r="DM31" s="1279"/>
      <c r="DN31" s="1279"/>
      <c r="DO31" s="1279"/>
      <c r="DP31" s="1279"/>
      <c r="DQ31" s="1279"/>
      <c r="DR31" s="1279"/>
      <c r="DS31" s="1279"/>
      <c r="DT31" s="1279"/>
      <c r="DU31" s="1279"/>
      <c r="DV31" s="1279"/>
      <c r="DW31" s="1279"/>
      <c r="DX31" s="1279"/>
      <c r="DY31" s="1279"/>
      <c r="DZ31" s="1279"/>
      <c r="EA31" s="1279"/>
      <c r="EB31" s="1279"/>
      <c r="EC31" s="1279"/>
      <c r="ED31" s="1279"/>
      <c r="EE31" s="1279"/>
      <c r="EF31" s="1279"/>
      <c r="EG31" s="1279"/>
      <c r="EH31" s="1279"/>
      <c r="EI31" s="1279"/>
      <c r="EJ31" s="1279"/>
      <c r="EK31" s="1279"/>
      <c r="EL31" s="1279"/>
      <c r="EM31" s="1279"/>
      <c r="EN31" s="1279"/>
      <c r="EO31" s="1279"/>
    </row>
    <row r="32" spans="1:145" ht="15">
      <c r="A32" s="1011" t="s">
        <v>861</v>
      </c>
      <c r="B32" s="1028">
        <v>55</v>
      </c>
      <c r="C32" s="645">
        <f>'Line Item Descriptions'!F32</f>
        <v>70</v>
      </c>
      <c r="D32" s="1218">
        <v>70</v>
      </c>
      <c r="E32" s="1001">
        <f>E29</f>
        <v>465575.8715</v>
      </c>
      <c r="F32" s="1219">
        <v>312643</v>
      </c>
      <c r="G32" s="1047">
        <f>(E32*C32)*0.03</f>
        <v>977709.3301499999</v>
      </c>
      <c r="H32" s="1170">
        <v>656550.2999999999</v>
      </c>
      <c r="I32" s="1003">
        <f t="shared" si="20"/>
        <v>7</v>
      </c>
      <c r="J32" s="1138">
        <v>7</v>
      </c>
      <c r="K32" s="1002">
        <f>P32/BudgetYears</f>
        <v>3259031.1005</v>
      </c>
      <c r="L32" s="1136">
        <v>2188501</v>
      </c>
      <c r="M32" s="1002">
        <f>'TAR Numbers'!Z10+'TAR Numbers'!AA10+'TAR Numbers'!BR10+'TAR Numbers'!BS10+'TAR Numbers'!BT10+'TAR Numbers'!BU10</f>
        <v>4059007.005000001</v>
      </c>
      <c r="N32" s="1014">
        <v>10</v>
      </c>
      <c r="O32" s="1015">
        <f>(USFInternal)*K32</f>
        <v>2281321.77035</v>
      </c>
      <c r="P32" s="1006">
        <f t="shared" si="22"/>
        <v>19554186.603</v>
      </c>
      <c r="Q32" s="1006">
        <f t="shared" si="23"/>
        <v>12710221.29195</v>
      </c>
      <c r="R32" s="1007" t="s">
        <v>1913</v>
      </c>
      <c r="S32" s="1006">
        <f t="shared" si="24"/>
        <v>0</v>
      </c>
      <c r="T32" s="1006">
        <f t="shared" si="25"/>
        <v>0</v>
      </c>
      <c r="U32" s="1006">
        <f t="shared" si="26"/>
        <v>0</v>
      </c>
      <c r="V32" s="1006">
        <f t="shared" si="27"/>
        <v>0</v>
      </c>
      <c r="W32" s="1006">
        <f t="shared" si="28"/>
        <v>0</v>
      </c>
      <c r="X32" s="1016" t="s">
        <v>25</v>
      </c>
      <c r="Y32" s="1006">
        <f t="shared" si="29"/>
        <v>0</v>
      </c>
      <c r="Z32" s="1006">
        <f t="shared" si="30"/>
        <v>0</v>
      </c>
      <c r="AA32" s="1006">
        <f t="shared" si="31"/>
        <v>0</v>
      </c>
      <c r="AB32" s="1006">
        <f t="shared" si="32"/>
        <v>0</v>
      </c>
      <c r="AC32" s="1009">
        <f t="shared" si="39"/>
        <v>0</v>
      </c>
      <c r="AD32" s="1006">
        <f t="shared" si="33"/>
        <v>0</v>
      </c>
      <c r="AE32" s="1006">
        <f t="shared" si="34"/>
        <v>0</v>
      </c>
      <c r="AF32" s="1006">
        <f t="shared" si="35"/>
        <v>0</v>
      </c>
      <c r="AG32" s="1006">
        <f t="shared" si="36"/>
        <v>0</v>
      </c>
      <c r="AH32" s="1009">
        <f t="shared" si="40"/>
        <v>0</v>
      </c>
      <c r="AM32" s="1301"/>
      <c r="AQ32" s="1303"/>
      <c r="AS32" s="1301"/>
      <c r="AY32" s="1279"/>
      <c r="AZ32" s="1279"/>
      <c r="BA32" s="1279"/>
      <c r="BB32" s="1279"/>
      <c r="BC32" s="1279"/>
      <c r="BD32" s="1279"/>
      <c r="BE32" s="1279"/>
      <c r="BF32" s="1279"/>
      <c r="BG32" s="1279"/>
      <c r="BH32" s="1279"/>
      <c r="BI32" s="1279"/>
      <c r="BJ32" s="1279"/>
      <c r="BK32" s="1279"/>
      <c r="BL32" s="1279"/>
      <c r="BM32" s="1279"/>
      <c r="BN32" s="1279"/>
      <c r="BO32" s="1279"/>
      <c r="BP32" s="1279"/>
      <c r="BQ32" s="1279"/>
      <c r="BR32" s="1279"/>
      <c r="BS32" s="1279"/>
      <c r="BT32" s="1279"/>
      <c r="BU32" s="1279"/>
      <c r="BV32" s="1279"/>
      <c r="BW32" s="1279"/>
      <c r="BX32" s="1279"/>
      <c r="BY32" s="1279"/>
      <c r="BZ32" s="1279"/>
      <c r="CA32" s="1279"/>
      <c r="CB32" s="1279"/>
      <c r="CC32" s="1279"/>
      <c r="CD32" s="1279"/>
      <c r="CE32" s="1279"/>
      <c r="CF32" s="1279"/>
      <c r="CG32" s="1279"/>
      <c r="CH32" s="1279"/>
      <c r="CI32" s="1279"/>
      <c r="CJ32" s="1279"/>
      <c r="CK32" s="1279"/>
      <c r="CL32" s="1279"/>
      <c r="CM32" s="1279"/>
      <c r="CN32" s="1279"/>
      <c r="CO32" s="1279"/>
      <c r="CP32" s="1279"/>
      <c r="CQ32" s="1279"/>
      <c r="CR32" s="1279"/>
      <c r="CS32" s="1279"/>
      <c r="CT32" s="1279"/>
      <c r="CU32" s="1279"/>
      <c r="CV32" s="1279"/>
      <c r="CW32" s="1279"/>
      <c r="CX32" s="1279"/>
      <c r="CY32" s="1279"/>
      <c r="CZ32" s="1279"/>
      <c r="DA32" s="1279"/>
      <c r="DB32" s="1279"/>
      <c r="DC32" s="1279"/>
      <c r="DD32" s="1279"/>
      <c r="DE32" s="1279"/>
      <c r="DF32" s="1279"/>
      <c r="DG32" s="1279"/>
      <c r="DH32" s="1279"/>
      <c r="DI32" s="1279"/>
      <c r="DJ32" s="1279"/>
      <c r="DK32" s="1279"/>
      <c r="DL32" s="1279"/>
      <c r="DM32" s="1279"/>
      <c r="DN32" s="1279"/>
      <c r="DO32" s="1279"/>
      <c r="DP32" s="1279"/>
      <c r="DQ32" s="1279"/>
      <c r="DR32" s="1279"/>
      <c r="DS32" s="1279"/>
      <c r="DT32" s="1279"/>
      <c r="DU32" s="1279"/>
      <c r="DV32" s="1279"/>
      <c r="DW32" s="1279"/>
      <c r="DX32" s="1279"/>
      <c r="DY32" s="1279"/>
      <c r="DZ32" s="1279"/>
      <c r="EA32" s="1279"/>
      <c r="EB32" s="1279"/>
      <c r="EC32" s="1279"/>
      <c r="ED32" s="1279"/>
      <c r="EE32" s="1279"/>
      <c r="EF32" s="1279"/>
      <c r="EG32" s="1279"/>
      <c r="EH32" s="1279"/>
      <c r="EI32" s="1279"/>
      <c r="EJ32" s="1279"/>
      <c r="EK32" s="1279"/>
      <c r="EL32" s="1279"/>
      <c r="EM32" s="1279"/>
      <c r="EN32" s="1279"/>
      <c r="EO32" s="1279"/>
    </row>
    <row r="33" spans="1:145" s="1010" customFormat="1" ht="15">
      <c r="A33" s="1011"/>
      <c r="B33" s="1028"/>
      <c r="C33" s="645"/>
      <c r="D33" s="1218"/>
      <c r="E33" s="1001"/>
      <c r="F33" s="1219"/>
      <c r="G33" s="1047"/>
      <c r="H33" s="1170"/>
      <c r="I33" s="1003"/>
      <c r="J33" s="1138"/>
      <c r="K33" s="1002"/>
      <c r="L33" s="1136"/>
      <c r="M33" s="1002"/>
      <c r="N33" s="1014"/>
      <c r="O33" s="1015"/>
      <c r="P33" s="1006"/>
      <c r="Q33" s="1006"/>
      <c r="R33" s="1007"/>
      <c r="S33" s="1006"/>
      <c r="T33" s="1006"/>
      <c r="U33" s="1006"/>
      <c r="V33" s="1006"/>
      <c r="W33" s="1006"/>
      <c r="X33" s="1016"/>
      <c r="Y33" s="1006"/>
      <c r="Z33" s="1006"/>
      <c r="AA33" s="1006"/>
      <c r="AB33" s="1006"/>
      <c r="AC33" s="1009"/>
      <c r="AD33" s="1006"/>
      <c r="AE33" s="1006"/>
      <c r="AF33" s="1006"/>
      <c r="AG33" s="1006"/>
      <c r="AH33" s="1009"/>
      <c r="AJ33" s="1011" t="s">
        <v>735</v>
      </c>
      <c r="AK33" s="1011">
        <v>92</v>
      </c>
      <c r="AL33" s="863">
        <f>C32</f>
        <v>70</v>
      </c>
      <c r="AM33" s="1177">
        <v>70</v>
      </c>
      <c r="AN33" s="1012">
        <f>AN30</f>
        <v>91650.12849999999</v>
      </c>
      <c r="AQ33" s="1209">
        <v>259173.97999999998</v>
      </c>
      <c r="AR33" s="863">
        <f>SUM(AL33/AU33)*AN33</f>
        <v>641550.8994999999</v>
      </c>
      <c r="AS33" s="1177">
        <v>1814217.8599999999</v>
      </c>
      <c r="AT33" s="863"/>
      <c r="AU33" s="1007">
        <v>10</v>
      </c>
      <c r="AY33" s="994"/>
      <c r="AZ33" s="994"/>
      <c r="BA33" s="994"/>
      <c r="BB33" s="994"/>
      <c r="BC33" s="994"/>
      <c r="BD33" s="994"/>
      <c r="BE33" s="994"/>
      <c r="BF33" s="994"/>
      <c r="BG33" s="994"/>
      <c r="BH33" s="994"/>
      <c r="BI33" s="994"/>
      <c r="BJ33" s="994"/>
      <c r="BK33" s="994"/>
      <c r="BL33" s="994"/>
      <c r="BM33" s="994"/>
      <c r="BN33" s="994"/>
      <c r="BO33" s="994"/>
      <c r="BP33" s="994"/>
      <c r="BQ33" s="994"/>
      <c r="BR33" s="994"/>
      <c r="BS33" s="994"/>
      <c r="BT33" s="994"/>
      <c r="BU33" s="994"/>
      <c r="BV33" s="994"/>
      <c r="BW33" s="994"/>
      <c r="BX33" s="994"/>
      <c r="BY33" s="994"/>
      <c r="BZ33" s="994"/>
      <c r="CA33" s="994"/>
      <c r="CB33" s="994"/>
      <c r="CC33" s="994"/>
      <c r="CD33" s="994"/>
      <c r="CE33" s="994"/>
      <c r="CF33" s="994"/>
      <c r="CG33" s="994"/>
      <c r="CH33" s="994"/>
      <c r="CI33" s="994"/>
      <c r="CJ33" s="994"/>
      <c r="CK33" s="994"/>
      <c r="CL33" s="994"/>
      <c r="CM33" s="994"/>
      <c r="CN33" s="994"/>
      <c r="CO33" s="994"/>
      <c r="CP33" s="994"/>
      <c r="CQ33" s="994"/>
      <c r="CR33" s="994"/>
      <c r="CS33" s="994"/>
      <c r="CT33" s="994"/>
      <c r="CU33" s="994"/>
      <c r="CV33" s="994"/>
      <c r="CW33" s="994"/>
      <c r="CX33" s="994"/>
      <c r="CY33" s="994"/>
      <c r="CZ33" s="994"/>
      <c r="DA33" s="994"/>
      <c r="DB33" s="994"/>
      <c r="DC33" s="994"/>
      <c r="DD33" s="994"/>
      <c r="DE33" s="994"/>
      <c r="DF33" s="994"/>
      <c r="DG33" s="994"/>
      <c r="DH33" s="994"/>
      <c r="DI33" s="994"/>
      <c r="DJ33" s="994"/>
      <c r="DK33" s="994"/>
      <c r="DL33" s="994"/>
      <c r="DM33" s="994"/>
      <c r="DN33" s="994"/>
      <c r="DO33" s="994"/>
      <c r="DP33" s="994"/>
      <c r="DQ33" s="994"/>
      <c r="DR33" s="994"/>
      <c r="DS33" s="994"/>
      <c r="DT33" s="994"/>
      <c r="DU33" s="994"/>
      <c r="DV33" s="994"/>
      <c r="DW33" s="994"/>
      <c r="DX33" s="994"/>
      <c r="DY33" s="994"/>
      <c r="DZ33" s="994"/>
      <c r="EA33" s="994"/>
      <c r="EB33" s="994"/>
      <c r="EC33" s="994"/>
      <c r="ED33" s="994"/>
      <c r="EE33" s="994"/>
      <c r="EF33" s="994"/>
      <c r="EG33" s="994"/>
      <c r="EH33" s="994"/>
      <c r="EI33" s="994"/>
      <c r="EJ33" s="994"/>
      <c r="EK33" s="994"/>
      <c r="EL33" s="994"/>
      <c r="EM33" s="994"/>
      <c r="EN33" s="994"/>
      <c r="EO33" s="994"/>
    </row>
    <row r="34" spans="1:145" ht="15">
      <c r="A34" s="1011"/>
      <c r="B34" s="1028"/>
      <c r="C34" s="645"/>
      <c r="D34" s="1218"/>
      <c r="F34" s="1219"/>
      <c r="G34" s="1047"/>
      <c r="H34" s="1170"/>
      <c r="I34" s="1003"/>
      <c r="J34" s="1138"/>
      <c r="K34" s="1002"/>
      <c r="L34" s="1136"/>
      <c r="M34" s="1002"/>
      <c r="N34" s="1014"/>
      <c r="O34" s="1015"/>
      <c r="P34" s="1006"/>
      <c r="Q34" s="1006"/>
      <c r="R34" s="1007"/>
      <c r="S34" s="1006"/>
      <c r="T34" s="1006"/>
      <c r="U34" s="1006"/>
      <c r="V34" s="1006"/>
      <c r="W34" s="1006"/>
      <c r="X34" s="1016"/>
      <c r="Y34" s="1006"/>
      <c r="Z34" s="1006"/>
      <c r="AA34" s="1006"/>
      <c r="AB34" s="1006"/>
      <c r="AC34" s="1009"/>
      <c r="AD34" s="1006"/>
      <c r="AE34" s="1006"/>
      <c r="AF34" s="1006"/>
      <c r="AG34" s="1006"/>
      <c r="AH34" s="1009"/>
      <c r="AJ34" s="1253" t="str">
        <f>AJ31</f>
        <v>(increased workstations, wireless, servers, smart classrooms, etc.)</v>
      </c>
      <c r="AM34" s="1301"/>
      <c r="AQ34" s="1303"/>
      <c r="AS34" s="1301"/>
      <c r="AY34" s="1279"/>
      <c r="AZ34" s="1279"/>
      <c r="BA34" s="1279"/>
      <c r="BB34" s="1279"/>
      <c r="BC34" s="1279"/>
      <c r="BD34" s="1279"/>
      <c r="BE34" s="1279"/>
      <c r="BF34" s="1279"/>
      <c r="BG34" s="1279"/>
      <c r="BH34" s="1279"/>
      <c r="BI34" s="1279"/>
      <c r="BJ34" s="1279"/>
      <c r="BK34" s="1279"/>
      <c r="BL34" s="1279"/>
      <c r="BM34" s="1279"/>
      <c r="BN34" s="1279"/>
      <c r="BO34" s="1279"/>
      <c r="BP34" s="1279"/>
      <c r="BQ34" s="1279"/>
      <c r="BR34" s="1279"/>
      <c r="BS34" s="1279"/>
      <c r="BT34" s="1279"/>
      <c r="BU34" s="1279"/>
      <c r="BV34" s="1279"/>
      <c r="BW34" s="1279"/>
      <c r="BX34" s="1279"/>
      <c r="BY34" s="1279"/>
      <c r="BZ34" s="1279"/>
      <c r="CA34" s="1279"/>
      <c r="CB34" s="1279"/>
      <c r="CC34" s="1279"/>
      <c r="CD34" s="1279"/>
      <c r="CE34" s="1279"/>
      <c r="CF34" s="1279"/>
      <c r="CG34" s="1279"/>
      <c r="CH34" s="1279"/>
      <c r="CI34" s="1279"/>
      <c r="CJ34" s="1279"/>
      <c r="CK34" s="1279"/>
      <c r="CL34" s="1279"/>
      <c r="CM34" s="1279"/>
      <c r="CN34" s="1279"/>
      <c r="CO34" s="1279"/>
      <c r="CP34" s="1279"/>
      <c r="CQ34" s="1279"/>
      <c r="CR34" s="1279"/>
      <c r="CS34" s="1279"/>
      <c r="CT34" s="1279"/>
      <c r="CU34" s="1279"/>
      <c r="CV34" s="1279"/>
      <c r="CW34" s="1279"/>
      <c r="CX34" s="1279"/>
      <c r="CY34" s="1279"/>
      <c r="CZ34" s="1279"/>
      <c r="DA34" s="1279"/>
      <c r="DB34" s="1279"/>
      <c r="DC34" s="1279"/>
      <c r="DD34" s="1279"/>
      <c r="DE34" s="1279"/>
      <c r="DF34" s="1279"/>
      <c r="DG34" s="1279"/>
      <c r="DH34" s="1279"/>
      <c r="DI34" s="1279"/>
      <c r="DJ34" s="1279"/>
      <c r="DK34" s="1279"/>
      <c r="DL34" s="1279"/>
      <c r="DM34" s="1279"/>
      <c r="DN34" s="1279"/>
      <c r="DO34" s="1279"/>
      <c r="DP34" s="1279"/>
      <c r="DQ34" s="1279"/>
      <c r="DR34" s="1279"/>
      <c r="DS34" s="1279"/>
      <c r="DT34" s="1279"/>
      <c r="DU34" s="1279"/>
      <c r="DV34" s="1279"/>
      <c r="DW34" s="1279"/>
      <c r="DX34" s="1279"/>
      <c r="DY34" s="1279"/>
      <c r="DZ34" s="1279"/>
      <c r="EA34" s="1279"/>
      <c r="EB34" s="1279"/>
      <c r="EC34" s="1279"/>
      <c r="ED34" s="1279"/>
      <c r="EE34" s="1279"/>
      <c r="EF34" s="1279"/>
      <c r="EG34" s="1279"/>
      <c r="EH34" s="1279"/>
      <c r="EI34" s="1279"/>
      <c r="EJ34" s="1279"/>
      <c r="EK34" s="1279"/>
      <c r="EL34" s="1279"/>
      <c r="EM34" s="1279"/>
      <c r="EN34" s="1279"/>
      <c r="EO34" s="1279"/>
    </row>
    <row r="35" spans="1:145" s="1010" customFormat="1" ht="15">
      <c r="A35" s="1011" t="s">
        <v>863</v>
      </c>
      <c r="B35" s="1028"/>
      <c r="C35" s="645">
        <f>'Line Item Descriptions'!F193</f>
        <v>500</v>
      </c>
      <c r="D35" s="1218"/>
      <c r="E35" s="1001">
        <f>(6*Number_of_Schools)+(0.02*Number_of_Students)+('Reference Data'!C6)</f>
        <v>57174.54126</v>
      </c>
      <c r="F35" s="1219"/>
      <c r="G35" s="1047">
        <f>(E35*C35)*0.03</f>
        <v>857618.1188999999</v>
      </c>
      <c r="H35" s="1170"/>
      <c r="I35" s="1003">
        <f>K35/E35</f>
        <v>83.33333333333333</v>
      </c>
      <c r="J35" s="1138"/>
      <c r="K35" s="1002">
        <f>P35/BudgetYears</f>
        <v>4764545.1049999995</v>
      </c>
      <c r="L35" s="1136"/>
      <c r="M35" s="1002">
        <f>'TAR Numbers'!AJ10+'TAR Numbers'!AK10</f>
        <v>2154037.88</v>
      </c>
      <c r="N35" s="1014">
        <v>6</v>
      </c>
      <c r="O35" s="1015">
        <f>(USFInternal)*K35</f>
        <v>3335181.5734999995</v>
      </c>
      <c r="P35" s="1006">
        <f>(C35*E35)*(BudgetYears/N35)</f>
        <v>28587270.63</v>
      </c>
      <c r="Q35" s="1006">
        <f>(P35)-(O35*3)</f>
        <v>18581725.909500003</v>
      </c>
      <c r="R35" s="1007" t="s">
        <v>1913</v>
      </c>
      <c r="S35" s="1006"/>
      <c r="T35" s="1006"/>
      <c r="U35" s="1006"/>
      <c r="V35" s="1006"/>
      <c r="W35" s="1006"/>
      <c r="X35" s="1016"/>
      <c r="Y35" s="1006"/>
      <c r="Z35" s="1006"/>
      <c r="AA35" s="1006"/>
      <c r="AB35" s="1006"/>
      <c r="AC35" s="1009"/>
      <c r="AD35" s="1006"/>
      <c r="AE35" s="1006"/>
      <c r="AF35" s="1006"/>
      <c r="AG35" s="1006"/>
      <c r="AH35" s="1009"/>
      <c r="AJ35" s="1011"/>
      <c r="AK35" s="1011"/>
      <c r="AL35" s="863"/>
      <c r="AM35" s="1177"/>
      <c r="AN35" s="1012"/>
      <c r="AQ35" s="1209"/>
      <c r="AR35" s="863"/>
      <c r="AS35" s="1177"/>
      <c r="AT35" s="863"/>
      <c r="AU35" s="1007"/>
      <c r="AY35" s="994"/>
      <c r="AZ35" s="994"/>
      <c r="BA35" s="994"/>
      <c r="BB35" s="994"/>
      <c r="BC35" s="994"/>
      <c r="BD35" s="994"/>
      <c r="BE35" s="994"/>
      <c r="BF35" s="994"/>
      <c r="BG35" s="994"/>
      <c r="BH35" s="994"/>
      <c r="BI35" s="994"/>
      <c r="BJ35" s="994"/>
      <c r="BK35" s="994"/>
      <c r="BL35" s="994"/>
      <c r="BM35" s="994"/>
      <c r="BN35" s="994"/>
      <c r="BO35" s="994"/>
      <c r="BP35" s="994"/>
      <c r="BQ35" s="994"/>
      <c r="BR35" s="994"/>
      <c r="BS35" s="994"/>
      <c r="BT35" s="994"/>
      <c r="BU35" s="994"/>
      <c r="BV35" s="994"/>
      <c r="BW35" s="994"/>
      <c r="BX35" s="994"/>
      <c r="BY35" s="994"/>
      <c r="BZ35" s="994"/>
      <c r="CA35" s="994"/>
      <c r="CB35" s="994"/>
      <c r="CC35" s="994"/>
      <c r="CD35" s="994"/>
      <c r="CE35" s="994"/>
      <c r="CF35" s="994"/>
      <c r="CG35" s="994"/>
      <c r="CH35" s="994"/>
      <c r="CI35" s="994"/>
      <c r="CJ35" s="994"/>
      <c r="CK35" s="994"/>
      <c r="CL35" s="994"/>
      <c r="CM35" s="994"/>
      <c r="CN35" s="994"/>
      <c r="CO35" s="994"/>
      <c r="CP35" s="994"/>
      <c r="CQ35" s="994"/>
      <c r="CR35" s="994"/>
      <c r="CS35" s="994"/>
      <c r="CT35" s="994"/>
      <c r="CU35" s="994"/>
      <c r="CV35" s="994"/>
      <c r="CW35" s="994"/>
      <c r="CX35" s="994"/>
      <c r="CY35" s="994"/>
      <c r="CZ35" s="994"/>
      <c r="DA35" s="994"/>
      <c r="DB35" s="994"/>
      <c r="DC35" s="994"/>
      <c r="DD35" s="994"/>
      <c r="DE35" s="994"/>
      <c r="DF35" s="994"/>
      <c r="DG35" s="994"/>
      <c r="DH35" s="994"/>
      <c r="DI35" s="994"/>
      <c r="DJ35" s="994"/>
      <c r="DK35" s="994"/>
      <c r="DL35" s="994"/>
      <c r="DM35" s="994"/>
      <c r="DN35" s="994"/>
      <c r="DO35" s="994"/>
      <c r="DP35" s="994"/>
      <c r="DQ35" s="994"/>
      <c r="DR35" s="994"/>
      <c r="DS35" s="994"/>
      <c r="DT35" s="994"/>
      <c r="DU35" s="994"/>
      <c r="DV35" s="994"/>
      <c r="DW35" s="994"/>
      <c r="DX35" s="994"/>
      <c r="DY35" s="994"/>
      <c r="DZ35" s="994"/>
      <c r="EA35" s="994"/>
      <c r="EB35" s="994"/>
      <c r="EC35" s="994"/>
      <c r="ED35" s="994"/>
      <c r="EE35" s="994"/>
      <c r="EF35" s="994"/>
      <c r="EG35" s="994"/>
      <c r="EH35" s="994"/>
      <c r="EI35" s="994"/>
      <c r="EJ35" s="994"/>
      <c r="EK35" s="994"/>
      <c r="EL35" s="994"/>
      <c r="EM35" s="994"/>
      <c r="EN35" s="994"/>
      <c r="EO35" s="994"/>
    </row>
    <row r="36" spans="1:145" ht="30.75" hidden="1">
      <c r="A36" s="1011" t="s">
        <v>864</v>
      </c>
      <c r="B36" s="1028">
        <v>50</v>
      </c>
      <c r="C36" s="645">
        <f>'Line Item Descriptions'!F36</f>
        <v>2000</v>
      </c>
      <c r="D36" s="1218">
        <v>2000</v>
      </c>
      <c r="E36" s="1001">
        <v>206</v>
      </c>
      <c r="F36" s="1219">
        <v>206</v>
      </c>
      <c r="G36" s="1047"/>
      <c r="H36" s="1170"/>
      <c r="I36" s="1003"/>
      <c r="J36" s="1138"/>
      <c r="K36" s="1002">
        <f>SUM(C36*E36)/N36</f>
        <v>41200</v>
      </c>
      <c r="L36" s="1136">
        <v>41200</v>
      </c>
      <c r="M36" s="1002">
        <f>'TAR Numbers'!AB10+'TAR Numbers'!AC10</f>
        <v>72367.35500000001</v>
      </c>
      <c r="N36" s="1014">
        <v>10</v>
      </c>
      <c r="O36" s="1015"/>
      <c r="P36" s="1006"/>
      <c r="Q36" s="1006"/>
      <c r="R36" s="1007"/>
      <c r="S36" s="1006"/>
      <c r="T36" s="1006"/>
      <c r="U36" s="1006"/>
      <c r="V36" s="1006"/>
      <c r="W36" s="1006"/>
      <c r="X36" s="1016"/>
      <c r="Y36" s="1006"/>
      <c r="Z36" s="1006"/>
      <c r="AA36" s="1006"/>
      <c r="AB36" s="1006"/>
      <c r="AC36" s="1009"/>
      <c r="AD36" s="1006"/>
      <c r="AE36" s="1006"/>
      <c r="AF36" s="1006"/>
      <c r="AG36" s="1006"/>
      <c r="AH36" s="1009"/>
      <c r="AM36" s="1301"/>
      <c r="AQ36" s="1303"/>
      <c r="AS36" s="1301"/>
      <c r="AY36" s="1279"/>
      <c r="AZ36" s="1279"/>
      <c r="BA36" s="1279"/>
      <c r="BB36" s="1279"/>
      <c r="BC36" s="1279"/>
      <c r="BD36" s="1279"/>
      <c r="BE36" s="1279"/>
      <c r="BF36" s="1279"/>
      <c r="BG36" s="1279"/>
      <c r="BH36" s="1279"/>
      <c r="BI36" s="1279"/>
      <c r="BJ36" s="1279"/>
      <c r="BK36" s="1279"/>
      <c r="BL36" s="1279"/>
      <c r="BM36" s="1279"/>
      <c r="BN36" s="1279"/>
      <c r="BO36" s="1279"/>
      <c r="BP36" s="1279"/>
      <c r="BQ36" s="1279"/>
      <c r="BR36" s="1279"/>
      <c r="BS36" s="1279"/>
      <c r="BT36" s="1279"/>
      <c r="BU36" s="1279"/>
      <c r="BV36" s="1279"/>
      <c r="BW36" s="1279"/>
      <c r="BX36" s="1279"/>
      <c r="BY36" s="1279"/>
      <c r="BZ36" s="1279"/>
      <c r="CA36" s="1279"/>
      <c r="CB36" s="1279"/>
      <c r="CC36" s="1279"/>
      <c r="CD36" s="1279"/>
      <c r="CE36" s="1279"/>
      <c r="CF36" s="1279"/>
      <c r="CG36" s="1279"/>
      <c r="CH36" s="1279"/>
      <c r="CI36" s="1279"/>
      <c r="CJ36" s="1279"/>
      <c r="CK36" s="1279"/>
      <c r="CL36" s="1279"/>
      <c r="CM36" s="1279"/>
      <c r="CN36" s="1279"/>
      <c r="CO36" s="1279"/>
      <c r="CP36" s="1279"/>
      <c r="CQ36" s="1279"/>
      <c r="CR36" s="1279"/>
      <c r="CS36" s="1279"/>
      <c r="CT36" s="1279"/>
      <c r="CU36" s="1279"/>
      <c r="CV36" s="1279"/>
      <c r="CW36" s="1279"/>
      <c r="CX36" s="1279"/>
      <c r="CY36" s="1279"/>
      <c r="CZ36" s="1279"/>
      <c r="DA36" s="1279"/>
      <c r="DB36" s="1279"/>
      <c r="DC36" s="1279"/>
      <c r="DD36" s="1279"/>
      <c r="DE36" s="1279"/>
      <c r="DF36" s="1279"/>
      <c r="DG36" s="1279"/>
      <c r="DH36" s="1279"/>
      <c r="DI36" s="1279"/>
      <c r="DJ36" s="1279"/>
      <c r="DK36" s="1279"/>
      <c r="DL36" s="1279"/>
      <c r="DM36" s="1279"/>
      <c r="DN36" s="1279"/>
      <c r="DO36" s="1279"/>
      <c r="DP36" s="1279"/>
      <c r="DQ36" s="1279"/>
      <c r="DR36" s="1279"/>
      <c r="DS36" s="1279"/>
      <c r="DT36" s="1279"/>
      <c r="DU36" s="1279"/>
      <c r="DV36" s="1279"/>
      <c r="DW36" s="1279"/>
      <c r="DX36" s="1279"/>
      <c r="DY36" s="1279"/>
      <c r="DZ36" s="1279"/>
      <c r="EA36" s="1279"/>
      <c r="EB36" s="1279"/>
      <c r="EC36" s="1279"/>
      <c r="ED36" s="1279"/>
      <c r="EE36" s="1279"/>
      <c r="EF36" s="1279"/>
      <c r="EG36" s="1279"/>
      <c r="EH36" s="1279"/>
      <c r="EI36" s="1279"/>
      <c r="EJ36" s="1279"/>
      <c r="EK36" s="1279"/>
      <c r="EL36" s="1279"/>
      <c r="EM36" s="1279"/>
      <c r="EN36" s="1279"/>
      <c r="EO36" s="1279"/>
    </row>
    <row r="37" spans="1:145" ht="15" hidden="1">
      <c r="A37" s="1253" t="s">
        <v>865</v>
      </c>
      <c r="C37" s="1316"/>
      <c r="D37" s="1155"/>
      <c r="E37" s="1317"/>
      <c r="F37" s="1318"/>
      <c r="G37" s="1047"/>
      <c r="H37" s="1170"/>
      <c r="J37" s="1319"/>
      <c r="K37" s="1235"/>
      <c r="L37" s="1309"/>
      <c r="M37" s="1235"/>
      <c r="N37" s="1320"/>
      <c r="O37" s="1321"/>
      <c r="X37" s="1323"/>
      <c r="Y37" s="1322"/>
      <c r="Z37" s="1322"/>
      <c r="AA37" s="1322"/>
      <c r="AB37" s="1322"/>
      <c r="AC37" s="1049"/>
      <c r="AD37" s="1322"/>
      <c r="AE37" s="1322"/>
      <c r="AF37" s="1322"/>
      <c r="AG37" s="1322"/>
      <c r="AH37" s="1049"/>
      <c r="AM37" s="1301"/>
      <c r="AQ37" s="1303"/>
      <c r="AS37" s="1301"/>
      <c r="AY37" s="1279"/>
      <c r="AZ37" s="1279"/>
      <c r="BA37" s="1279"/>
      <c r="BB37" s="1279"/>
      <c r="BC37" s="1279"/>
      <c r="BD37" s="1279"/>
      <c r="BE37" s="1279"/>
      <c r="BF37" s="1279"/>
      <c r="BG37" s="1279"/>
      <c r="BH37" s="1279"/>
      <c r="BI37" s="1279"/>
      <c r="BJ37" s="1279"/>
      <c r="BK37" s="1279"/>
      <c r="BL37" s="1279"/>
      <c r="BM37" s="1279"/>
      <c r="BN37" s="1279"/>
      <c r="BO37" s="1279"/>
      <c r="BP37" s="1279"/>
      <c r="BQ37" s="1279"/>
      <c r="BR37" s="1279"/>
      <c r="BS37" s="1279"/>
      <c r="BT37" s="1279"/>
      <c r="BU37" s="1279"/>
      <c r="BV37" s="1279"/>
      <c r="BW37" s="1279"/>
      <c r="BX37" s="1279"/>
      <c r="BY37" s="1279"/>
      <c r="BZ37" s="1279"/>
      <c r="CA37" s="1279"/>
      <c r="CB37" s="1279"/>
      <c r="CC37" s="1279"/>
      <c r="CD37" s="1279"/>
      <c r="CE37" s="1279"/>
      <c r="CF37" s="1279"/>
      <c r="CG37" s="1279"/>
      <c r="CH37" s="1279"/>
      <c r="CI37" s="1279"/>
      <c r="CJ37" s="1279"/>
      <c r="CK37" s="1279"/>
      <c r="CL37" s="1279"/>
      <c r="CM37" s="1279"/>
      <c r="CN37" s="1279"/>
      <c r="CO37" s="1279"/>
      <c r="CP37" s="1279"/>
      <c r="CQ37" s="1279"/>
      <c r="CR37" s="1279"/>
      <c r="CS37" s="1279"/>
      <c r="CT37" s="1279"/>
      <c r="CU37" s="1279"/>
      <c r="CV37" s="1279"/>
      <c r="CW37" s="1279"/>
      <c r="CX37" s="1279"/>
      <c r="CY37" s="1279"/>
      <c r="CZ37" s="1279"/>
      <c r="DA37" s="1279"/>
      <c r="DB37" s="1279"/>
      <c r="DC37" s="1279"/>
      <c r="DD37" s="1279"/>
      <c r="DE37" s="1279"/>
      <c r="DF37" s="1279"/>
      <c r="DG37" s="1279"/>
      <c r="DH37" s="1279"/>
      <c r="DI37" s="1279"/>
      <c r="DJ37" s="1279"/>
      <c r="DK37" s="1279"/>
      <c r="DL37" s="1279"/>
      <c r="DM37" s="1279"/>
      <c r="DN37" s="1279"/>
      <c r="DO37" s="1279"/>
      <c r="DP37" s="1279"/>
      <c r="DQ37" s="1279"/>
      <c r="DR37" s="1279"/>
      <c r="DS37" s="1279"/>
      <c r="DT37" s="1279"/>
      <c r="DU37" s="1279"/>
      <c r="DV37" s="1279"/>
      <c r="DW37" s="1279"/>
      <c r="DX37" s="1279"/>
      <c r="DY37" s="1279"/>
      <c r="DZ37" s="1279"/>
      <c r="EA37" s="1279"/>
      <c r="EB37" s="1279"/>
      <c r="EC37" s="1279"/>
      <c r="ED37" s="1279"/>
      <c r="EE37" s="1279"/>
      <c r="EF37" s="1279"/>
      <c r="EG37" s="1279"/>
      <c r="EH37" s="1279"/>
      <c r="EI37" s="1279"/>
      <c r="EJ37" s="1279"/>
      <c r="EK37" s="1279"/>
      <c r="EL37" s="1279"/>
      <c r="EM37" s="1279"/>
      <c r="EN37" s="1279"/>
      <c r="EO37" s="1279"/>
    </row>
    <row r="38" spans="1:145" ht="15" hidden="1">
      <c r="A38" s="1011" t="s">
        <v>866</v>
      </c>
      <c r="B38" s="1028">
        <v>50</v>
      </c>
      <c r="C38" s="645">
        <f>'Line Item Descriptions'!F38</f>
        <v>500</v>
      </c>
      <c r="D38" s="1218">
        <v>500</v>
      </c>
      <c r="E38" s="1001">
        <v>892</v>
      </c>
      <c r="F38" s="1219">
        <v>892</v>
      </c>
      <c r="G38" s="1047"/>
      <c r="H38" s="1170"/>
      <c r="I38" s="1003"/>
      <c r="J38" s="1138"/>
      <c r="K38" s="1002">
        <f>SUM(C38*E38)/N38</f>
        <v>44600</v>
      </c>
      <c r="L38" s="1136">
        <v>44600</v>
      </c>
      <c r="M38" s="1002">
        <f>'TAR Numbers'!AD10+'TAR Numbers'!AE10</f>
        <v>137978.90499999997</v>
      </c>
      <c r="N38" s="1014">
        <v>10</v>
      </c>
      <c r="O38" s="1015"/>
      <c r="P38" s="1006"/>
      <c r="Q38" s="1006"/>
      <c r="R38" s="1007"/>
      <c r="S38" s="1006"/>
      <c r="T38" s="1006"/>
      <c r="U38" s="1006"/>
      <c r="V38" s="1006"/>
      <c r="W38" s="1006"/>
      <c r="X38" s="1016"/>
      <c r="Y38" s="1006"/>
      <c r="Z38" s="1006"/>
      <c r="AA38" s="1006"/>
      <c r="AB38" s="1006"/>
      <c r="AC38" s="1009"/>
      <c r="AD38" s="1006"/>
      <c r="AE38" s="1006"/>
      <c r="AF38" s="1006"/>
      <c r="AG38" s="1006"/>
      <c r="AH38" s="1009"/>
      <c r="AM38" s="1301"/>
      <c r="AQ38" s="1303"/>
      <c r="AS38" s="1301"/>
      <c r="AY38" s="1279"/>
      <c r="AZ38" s="1279"/>
      <c r="BA38" s="1279"/>
      <c r="BB38" s="1279"/>
      <c r="BC38" s="1279"/>
      <c r="BD38" s="1279"/>
      <c r="BE38" s="1279"/>
      <c r="BF38" s="1279"/>
      <c r="BG38" s="1279"/>
      <c r="BH38" s="1279"/>
      <c r="BI38" s="1279"/>
      <c r="BJ38" s="1279"/>
      <c r="BK38" s="1279"/>
      <c r="BL38" s="1279"/>
      <c r="BM38" s="1279"/>
      <c r="BN38" s="1279"/>
      <c r="BO38" s="1279"/>
      <c r="BP38" s="1279"/>
      <c r="BQ38" s="1279"/>
      <c r="BR38" s="1279"/>
      <c r="BS38" s="1279"/>
      <c r="BT38" s="1279"/>
      <c r="BU38" s="1279"/>
      <c r="BV38" s="1279"/>
      <c r="BW38" s="1279"/>
      <c r="BX38" s="1279"/>
      <c r="BY38" s="1279"/>
      <c r="BZ38" s="1279"/>
      <c r="CA38" s="1279"/>
      <c r="CB38" s="1279"/>
      <c r="CC38" s="1279"/>
      <c r="CD38" s="1279"/>
      <c r="CE38" s="1279"/>
      <c r="CF38" s="1279"/>
      <c r="CG38" s="1279"/>
      <c r="CH38" s="1279"/>
      <c r="CI38" s="1279"/>
      <c r="CJ38" s="1279"/>
      <c r="CK38" s="1279"/>
      <c r="CL38" s="1279"/>
      <c r="CM38" s="1279"/>
      <c r="CN38" s="1279"/>
      <c r="CO38" s="1279"/>
      <c r="CP38" s="1279"/>
      <c r="CQ38" s="1279"/>
      <c r="CR38" s="1279"/>
      <c r="CS38" s="1279"/>
      <c r="CT38" s="1279"/>
      <c r="CU38" s="1279"/>
      <c r="CV38" s="1279"/>
      <c r="CW38" s="1279"/>
      <c r="CX38" s="1279"/>
      <c r="CY38" s="1279"/>
      <c r="CZ38" s="1279"/>
      <c r="DA38" s="1279"/>
      <c r="DB38" s="1279"/>
      <c r="DC38" s="1279"/>
      <c r="DD38" s="1279"/>
      <c r="DE38" s="1279"/>
      <c r="DF38" s="1279"/>
      <c r="DG38" s="1279"/>
      <c r="DH38" s="1279"/>
      <c r="DI38" s="1279"/>
      <c r="DJ38" s="1279"/>
      <c r="DK38" s="1279"/>
      <c r="DL38" s="1279"/>
      <c r="DM38" s="1279"/>
      <c r="DN38" s="1279"/>
      <c r="DO38" s="1279"/>
      <c r="DP38" s="1279"/>
      <c r="DQ38" s="1279"/>
      <c r="DR38" s="1279"/>
      <c r="DS38" s="1279"/>
      <c r="DT38" s="1279"/>
      <c r="DU38" s="1279"/>
      <c r="DV38" s="1279"/>
      <c r="DW38" s="1279"/>
      <c r="DX38" s="1279"/>
      <c r="DY38" s="1279"/>
      <c r="DZ38" s="1279"/>
      <c r="EA38" s="1279"/>
      <c r="EB38" s="1279"/>
      <c r="EC38" s="1279"/>
      <c r="ED38" s="1279"/>
      <c r="EE38" s="1279"/>
      <c r="EF38" s="1279"/>
      <c r="EG38" s="1279"/>
      <c r="EH38" s="1279"/>
      <c r="EI38" s="1279"/>
      <c r="EJ38" s="1279"/>
      <c r="EK38" s="1279"/>
      <c r="EL38" s="1279"/>
      <c r="EM38" s="1279"/>
      <c r="EN38" s="1279"/>
      <c r="EO38" s="1279"/>
    </row>
    <row r="39" spans="1:145" ht="15" hidden="1">
      <c r="A39" s="1253" t="s">
        <v>867</v>
      </c>
      <c r="C39" s="1316"/>
      <c r="D39" s="1155"/>
      <c r="E39" s="1317"/>
      <c r="F39" s="1318"/>
      <c r="G39" s="1047"/>
      <c r="H39" s="1170"/>
      <c r="J39" s="1319"/>
      <c r="K39" s="1235"/>
      <c r="L39" s="1309"/>
      <c r="M39" s="1235"/>
      <c r="N39" s="1320"/>
      <c r="O39" s="1321"/>
      <c r="X39" s="1323"/>
      <c r="Y39" s="1322"/>
      <c r="Z39" s="1322"/>
      <c r="AA39" s="1322"/>
      <c r="AB39" s="1322"/>
      <c r="AC39" s="1049"/>
      <c r="AD39" s="1322"/>
      <c r="AE39" s="1322"/>
      <c r="AF39" s="1322"/>
      <c r="AG39" s="1322"/>
      <c r="AH39" s="1049"/>
      <c r="AM39" s="1301"/>
      <c r="AQ39" s="1303"/>
      <c r="AS39" s="1301"/>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9"/>
      <c r="DE39" s="1279"/>
      <c r="DF39" s="1279"/>
      <c r="DG39" s="1279"/>
      <c r="DH39" s="1279"/>
      <c r="DI39" s="1279"/>
      <c r="DJ39" s="1279"/>
      <c r="DK39" s="1279"/>
      <c r="DL39" s="1279"/>
      <c r="DM39" s="1279"/>
      <c r="DN39" s="1279"/>
      <c r="DO39" s="1279"/>
      <c r="DP39" s="1279"/>
      <c r="DQ39" s="1279"/>
      <c r="DR39" s="1279"/>
      <c r="DS39" s="1279"/>
      <c r="DT39" s="1279"/>
      <c r="DU39" s="1279"/>
      <c r="DV39" s="1279"/>
      <c r="DW39" s="1279"/>
      <c r="DX39" s="1279"/>
      <c r="DY39" s="1279"/>
      <c r="DZ39" s="1279"/>
      <c r="EA39" s="1279"/>
      <c r="EB39" s="1279"/>
      <c r="EC39" s="1279"/>
      <c r="ED39" s="1279"/>
      <c r="EE39" s="1279"/>
      <c r="EF39" s="1279"/>
      <c r="EG39" s="1279"/>
      <c r="EH39" s="1279"/>
      <c r="EI39" s="1279"/>
      <c r="EJ39" s="1279"/>
      <c r="EK39" s="1279"/>
      <c r="EL39" s="1279"/>
      <c r="EM39" s="1279"/>
      <c r="EN39" s="1279"/>
      <c r="EO39" s="1279"/>
    </row>
    <row r="40" spans="1:145" ht="15" hidden="1">
      <c r="A40" s="1011" t="s">
        <v>868</v>
      </c>
      <c r="B40" s="1028">
        <v>50</v>
      </c>
      <c r="C40" s="645">
        <f>'Line Item Descriptions'!F40</f>
        <v>2000</v>
      </c>
      <c r="D40" s="1218">
        <v>2000</v>
      </c>
      <c r="E40" s="1001">
        <v>274</v>
      </c>
      <c r="F40" s="1219">
        <v>274</v>
      </c>
      <c r="G40" s="1047"/>
      <c r="H40" s="1170"/>
      <c r="I40" s="1003"/>
      <c r="J40" s="1138"/>
      <c r="K40" s="1002">
        <f>SUM(C40*E40)/N40</f>
        <v>54800</v>
      </c>
      <c r="L40" s="1136">
        <v>54800</v>
      </c>
      <c r="M40" s="1002">
        <f>'TAR Numbers'!AF10+'TAR Numbers'!AG10</f>
        <v>106657.10999999999</v>
      </c>
      <c r="N40" s="1014">
        <v>10</v>
      </c>
      <c r="O40" s="1015"/>
      <c r="P40" s="1006"/>
      <c r="Q40" s="1006"/>
      <c r="R40" s="1007"/>
      <c r="S40" s="1006"/>
      <c r="T40" s="1006"/>
      <c r="U40" s="1006"/>
      <c r="V40" s="1006"/>
      <c r="W40" s="1006"/>
      <c r="X40" s="1016"/>
      <c r="Y40" s="1006"/>
      <c r="Z40" s="1006"/>
      <c r="AA40" s="1006"/>
      <c r="AB40" s="1006"/>
      <c r="AC40" s="1009"/>
      <c r="AD40" s="1006"/>
      <c r="AE40" s="1006"/>
      <c r="AF40" s="1006"/>
      <c r="AG40" s="1006"/>
      <c r="AH40" s="1009"/>
      <c r="AM40" s="1301"/>
      <c r="AQ40" s="1303"/>
      <c r="AS40" s="1301"/>
      <c r="AY40" s="1279"/>
      <c r="AZ40" s="1279"/>
      <c r="BA40" s="1279"/>
      <c r="BB40" s="1279"/>
      <c r="BC40" s="1279"/>
      <c r="BD40" s="1279"/>
      <c r="BE40" s="1279"/>
      <c r="BF40" s="1279"/>
      <c r="BG40" s="1279"/>
      <c r="BH40" s="1279"/>
      <c r="BI40" s="1279"/>
      <c r="BJ40" s="1279"/>
      <c r="BK40" s="1279"/>
      <c r="BL40" s="1279"/>
      <c r="BM40" s="1279"/>
      <c r="BN40" s="1279"/>
      <c r="BO40" s="1279"/>
      <c r="BP40" s="1279"/>
      <c r="BQ40" s="1279"/>
      <c r="BR40" s="1279"/>
      <c r="BS40" s="1279"/>
      <c r="BT40" s="1279"/>
      <c r="BU40" s="1279"/>
      <c r="BV40" s="1279"/>
      <c r="BW40" s="1279"/>
      <c r="BX40" s="1279"/>
      <c r="BY40" s="1279"/>
      <c r="BZ40" s="1279"/>
      <c r="CA40" s="1279"/>
      <c r="CB40" s="1279"/>
      <c r="CC40" s="1279"/>
      <c r="CD40" s="1279"/>
      <c r="CE40" s="1279"/>
      <c r="CF40" s="1279"/>
      <c r="CG40" s="1279"/>
      <c r="CH40" s="1279"/>
      <c r="CI40" s="1279"/>
      <c r="CJ40" s="1279"/>
      <c r="CK40" s="1279"/>
      <c r="CL40" s="1279"/>
      <c r="CM40" s="1279"/>
      <c r="CN40" s="1279"/>
      <c r="CO40" s="1279"/>
      <c r="CP40" s="1279"/>
      <c r="CQ40" s="1279"/>
      <c r="CR40" s="1279"/>
      <c r="CS40" s="1279"/>
      <c r="CT40" s="1279"/>
      <c r="CU40" s="1279"/>
      <c r="CV40" s="1279"/>
      <c r="CW40" s="1279"/>
      <c r="CX40" s="1279"/>
      <c r="CY40" s="1279"/>
      <c r="CZ40" s="1279"/>
      <c r="DA40" s="1279"/>
      <c r="DB40" s="1279"/>
      <c r="DC40" s="1279"/>
      <c r="DD40" s="1279"/>
      <c r="DE40" s="1279"/>
      <c r="DF40" s="1279"/>
      <c r="DG40" s="1279"/>
      <c r="DH40" s="1279"/>
      <c r="DI40" s="1279"/>
      <c r="DJ40" s="1279"/>
      <c r="DK40" s="1279"/>
      <c r="DL40" s="1279"/>
      <c r="DM40" s="1279"/>
      <c r="DN40" s="1279"/>
      <c r="DO40" s="1279"/>
      <c r="DP40" s="1279"/>
      <c r="DQ40" s="1279"/>
      <c r="DR40" s="1279"/>
      <c r="DS40" s="1279"/>
      <c r="DT40" s="1279"/>
      <c r="DU40" s="1279"/>
      <c r="DV40" s="1279"/>
      <c r="DW40" s="1279"/>
      <c r="DX40" s="1279"/>
      <c r="DY40" s="1279"/>
      <c r="DZ40" s="1279"/>
      <c r="EA40" s="1279"/>
      <c r="EB40" s="1279"/>
      <c r="EC40" s="1279"/>
      <c r="ED40" s="1279"/>
      <c r="EE40" s="1279"/>
      <c r="EF40" s="1279"/>
      <c r="EG40" s="1279"/>
      <c r="EH40" s="1279"/>
      <c r="EI40" s="1279"/>
      <c r="EJ40" s="1279"/>
      <c r="EK40" s="1279"/>
      <c r="EL40" s="1279"/>
      <c r="EM40" s="1279"/>
      <c r="EN40" s="1279"/>
      <c r="EO40" s="1279"/>
    </row>
    <row r="41" spans="1:145" ht="15" hidden="1">
      <c r="A41" s="1253" t="s">
        <v>738</v>
      </c>
      <c r="C41" s="1316"/>
      <c r="D41" s="1155"/>
      <c r="E41" s="1317"/>
      <c r="F41" s="1318"/>
      <c r="G41" s="1047"/>
      <c r="H41" s="1170"/>
      <c r="J41" s="1319"/>
      <c r="K41" s="1235"/>
      <c r="L41" s="1309"/>
      <c r="M41" s="1235"/>
      <c r="N41" s="1320"/>
      <c r="O41" s="1321"/>
      <c r="X41" s="1323"/>
      <c r="Y41" s="1322"/>
      <c r="Z41" s="1322"/>
      <c r="AA41" s="1322"/>
      <c r="AB41" s="1322"/>
      <c r="AC41" s="1049"/>
      <c r="AD41" s="1322"/>
      <c r="AE41" s="1322"/>
      <c r="AF41" s="1322"/>
      <c r="AG41" s="1322"/>
      <c r="AH41" s="1049"/>
      <c r="AM41" s="1301"/>
      <c r="AQ41" s="1303"/>
      <c r="AS41" s="1301"/>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79"/>
      <c r="DE41" s="1279"/>
      <c r="DF41" s="1279"/>
      <c r="DG41" s="1279"/>
      <c r="DH41" s="1279"/>
      <c r="DI41" s="1279"/>
      <c r="DJ41" s="1279"/>
      <c r="DK41" s="1279"/>
      <c r="DL41" s="1279"/>
      <c r="DM41" s="1279"/>
      <c r="DN41" s="1279"/>
      <c r="DO41" s="1279"/>
      <c r="DP41" s="1279"/>
      <c r="DQ41" s="1279"/>
      <c r="DR41" s="1279"/>
      <c r="DS41" s="1279"/>
      <c r="DT41" s="1279"/>
      <c r="DU41" s="1279"/>
      <c r="DV41" s="1279"/>
      <c r="DW41" s="1279"/>
      <c r="DX41" s="1279"/>
      <c r="DY41" s="1279"/>
      <c r="DZ41" s="1279"/>
      <c r="EA41" s="1279"/>
      <c r="EB41" s="1279"/>
      <c r="EC41" s="1279"/>
      <c r="ED41" s="1279"/>
      <c r="EE41" s="1279"/>
      <c r="EF41" s="1279"/>
      <c r="EG41" s="1279"/>
      <c r="EH41" s="1279"/>
      <c r="EI41" s="1279"/>
      <c r="EJ41" s="1279"/>
      <c r="EK41" s="1279"/>
      <c r="EL41" s="1279"/>
      <c r="EM41" s="1279"/>
      <c r="EN41" s="1279"/>
      <c r="EO41" s="1279"/>
    </row>
    <row r="42" spans="1:145" ht="15">
      <c r="A42" s="1011" t="s">
        <v>1905</v>
      </c>
      <c r="C42" s="1316">
        <f>'Line Item Descriptions'!F34</f>
        <v>1500</v>
      </c>
      <c r="D42" s="1155"/>
      <c r="E42" s="1317">
        <f>'Line Item Descriptions'!G34</f>
        <v>1247</v>
      </c>
      <c r="F42" s="1318"/>
      <c r="G42" s="1047"/>
      <c r="H42" s="1170"/>
      <c r="J42" s="1319"/>
      <c r="K42" s="1002">
        <f>SUM(C42*E42)/N42</f>
        <v>187050</v>
      </c>
      <c r="L42" s="1309"/>
      <c r="M42" s="1235"/>
      <c r="N42" s="1320">
        <v>10</v>
      </c>
      <c r="O42" s="1321"/>
      <c r="R42" s="1007" t="s">
        <v>83</v>
      </c>
      <c r="X42" s="1323"/>
      <c r="Y42" s="1322"/>
      <c r="Z42" s="1322"/>
      <c r="AA42" s="1322"/>
      <c r="AB42" s="1322"/>
      <c r="AC42" s="1049"/>
      <c r="AD42" s="1322"/>
      <c r="AE42" s="1322"/>
      <c r="AF42" s="1322"/>
      <c r="AG42" s="1322"/>
      <c r="AH42" s="1049"/>
      <c r="AM42" s="1301"/>
      <c r="AQ42" s="1303"/>
      <c r="AS42" s="1301"/>
      <c r="AY42" s="1279"/>
      <c r="AZ42" s="1279"/>
      <c r="BA42" s="1279"/>
      <c r="BB42" s="1279"/>
      <c r="BC42" s="1279"/>
      <c r="BD42" s="1279"/>
      <c r="BE42" s="1279"/>
      <c r="BF42" s="1279"/>
      <c r="BG42" s="1279"/>
      <c r="BH42" s="1279"/>
      <c r="BI42" s="1279"/>
      <c r="BJ42" s="1279"/>
      <c r="BK42" s="1279"/>
      <c r="BL42" s="1279"/>
      <c r="BM42" s="1279"/>
      <c r="BN42" s="1279"/>
      <c r="BO42" s="1279"/>
      <c r="BP42" s="1279"/>
      <c r="BQ42" s="1279"/>
      <c r="BR42" s="1279"/>
      <c r="BS42" s="1279"/>
      <c r="BT42" s="1279"/>
      <c r="BU42" s="1279"/>
      <c r="BV42" s="1279"/>
      <c r="BW42" s="1279"/>
      <c r="BX42" s="1279"/>
      <c r="BY42" s="1279"/>
      <c r="BZ42" s="1279"/>
      <c r="CA42" s="1279"/>
      <c r="CB42" s="1279"/>
      <c r="CC42" s="1279"/>
      <c r="CD42" s="1279"/>
      <c r="CE42" s="1279"/>
      <c r="CF42" s="1279"/>
      <c r="CG42" s="1279"/>
      <c r="CH42" s="1279"/>
      <c r="CI42" s="1279"/>
      <c r="CJ42" s="1279"/>
      <c r="CK42" s="1279"/>
      <c r="CL42" s="1279"/>
      <c r="CM42" s="1279"/>
      <c r="CN42" s="1279"/>
      <c r="CO42" s="1279"/>
      <c r="CP42" s="1279"/>
      <c r="CQ42" s="1279"/>
      <c r="CR42" s="1279"/>
      <c r="CS42" s="1279"/>
      <c r="CT42" s="1279"/>
      <c r="CU42" s="1279"/>
      <c r="CV42" s="1279"/>
      <c r="CW42" s="1279"/>
      <c r="CX42" s="1279"/>
      <c r="CY42" s="1279"/>
      <c r="CZ42" s="1279"/>
      <c r="DA42" s="1279"/>
      <c r="DB42" s="1279"/>
      <c r="DC42" s="1279"/>
      <c r="DD42" s="1279"/>
      <c r="DE42" s="1279"/>
      <c r="DF42" s="1279"/>
      <c r="DG42" s="1279"/>
      <c r="DH42" s="1279"/>
      <c r="DI42" s="1279"/>
      <c r="DJ42" s="1279"/>
      <c r="DK42" s="1279"/>
      <c r="DL42" s="1279"/>
      <c r="DM42" s="1279"/>
      <c r="DN42" s="1279"/>
      <c r="DO42" s="1279"/>
      <c r="DP42" s="1279"/>
      <c r="DQ42" s="1279"/>
      <c r="DR42" s="1279"/>
      <c r="DS42" s="1279"/>
      <c r="DT42" s="1279"/>
      <c r="DU42" s="1279"/>
      <c r="DV42" s="1279"/>
      <c r="DW42" s="1279"/>
      <c r="DX42" s="1279"/>
      <c r="DY42" s="1279"/>
      <c r="DZ42" s="1279"/>
      <c r="EA42" s="1279"/>
      <c r="EB42" s="1279"/>
      <c r="EC42" s="1279"/>
      <c r="ED42" s="1279"/>
      <c r="EE42" s="1279"/>
      <c r="EF42" s="1279"/>
      <c r="EG42" s="1279"/>
      <c r="EH42" s="1279"/>
      <c r="EI42" s="1279"/>
      <c r="EJ42" s="1279"/>
      <c r="EK42" s="1279"/>
      <c r="EL42" s="1279"/>
      <c r="EM42" s="1279"/>
      <c r="EN42" s="1279"/>
      <c r="EO42" s="1279"/>
    </row>
    <row r="43" spans="3:145" ht="15">
      <c r="C43" s="1316"/>
      <c r="D43" s="1155"/>
      <c r="E43" s="1317"/>
      <c r="F43" s="1318"/>
      <c r="G43" s="1047"/>
      <c r="H43" s="1170"/>
      <c r="J43" s="1319"/>
      <c r="K43" s="1235"/>
      <c r="L43" s="1309"/>
      <c r="M43" s="1235"/>
      <c r="N43" s="1320"/>
      <c r="O43" s="1321"/>
      <c r="X43" s="1323"/>
      <c r="Y43" s="1322"/>
      <c r="Z43" s="1322"/>
      <c r="AA43" s="1322"/>
      <c r="AB43" s="1322"/>
      <c r="AC43" s="1049"/>
      <c r="AD43" s="1322"/>
      <c r="AE43" s="1322"/>
      <c r="AF43" s="1322"/>
      <c r="AG43" s="1322"/>
      <c r="AH43" s="1049"/>
      <c r="AM43" s="1301"/>
      <c r="AQ43" s="1303"/>
      <c r="AS43" s="1301"/>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79"/>
      <c r="DD43" s="1279"/>
      <c r="DE43" s="1279"/>
      <c r="DF43" s="1279"/>
      <c r="DG43" s="1279"/>
      <c r="DH43" s="1279"/>
      <c r="DI43" s="1279"/>
      <c r="DJ43" s="1279"/>
      <c r="DK43" s="1279"/>
      <c r="DL43" s="1279"/>
      <c r="DM43" s="1279"/>
      <c r="DN43" s="1279"/>
      <c r="DO43" s="1279"/>
      <c r="DP43" s="1279"/>
      <c r="DQ43" s="1279"/>
      <c r="DR43" s="1279"/>
      <c r="DS43" s="1279"/>
      <c r="DT43" s="1279"/>
      <c r="DU43" s="1279"/>
      <c r="DV43" s="1279"/>
      <c r="DW43" s="1279"/>
      <c r="DX43" s="1279"/>
      <c r="DY43" s="1279"/>
      <c r="DZ43" s="1279"/>
      <c r="EA43" s="1279"/>
      <c r="EB43" s="1279"/>
      <c r="EC43" s="1279"/>
      <c r="ED43" s="1279"/>
      <c r="EE43" s="1279"/>
      <c r="EF43" s="1279"/>
      <c r="EG43" s="1279"/>
      <c r="EH43" s="1279"/>
      <c r="EI43" s="1279"/>
      <c r="EJ43" s="1279"/>
      <c r="EK43" s="1279"/>
      <c r="EL43" s="1279"/>
      <c r="EM43" s="1279"/>
      <c r="EN43" s="1279"/>
      <c r="EO43" s="1279"/>
    </row>
    <row r="44" spans="1:145" s="972" customFormat="1" ht="15">
      <c r="A44" s="1034" t="s">
        <v>45</v>
      </c>
      <c r="B44" s="1034"/>
      <c r="C44" s="656"/>
      <c r="D44" s="1156"/>
      <c r="E44" s="1050"/>
      <c r="F44" s="1167"/>
      <c r="G44" s="1051">
        <f>SUM(G29:G41)</f>
        <v>7422237.9070500005</v>
      </c>
      <c r="H44" s="1141">
        <v>4225002.54</v>
      </c>
      <c r="I44" s="1051"/>
      <c r="J44" s="1141"/>
      <c r="K44" s="1051">
        <f>SUM(K29+K32+K35+K42)</f>
        <v>13797536.6635</v>
      </c>
      <c r="L44" s="1141">
        <v>5897553.24</v>
      </c>
      <c r="M44" s="1051">
        <f>SUM(M23:M41)</f>
        <v>7871549.925000002</v>
      </c>
      <c r="N44" s="1019"/>
      <c r="O44" s="1051">
        <f>SUM(O23:O41)</f>
        <v>13438177.98505</v>
      </c>
      <c r="P44" s="1029">
        <f>SUM(P23:P41)</f>
        <v>115184382.729</v>
      </c>
      <c r="Q44" s="1029">
        <f>SUM(Q23:Q41)</f>
        <v>74869848.77385</v>
      </c>
      <c r="R44" s="1041" t="s">
        <v>25</v>
      </c>
      <c r="S44" s="1029">
        <f>SUM(S23:S41)</f>
        <v>0</v>
      </c>
      <c r="T44" s="1029">
        <f>SUM(T23:T41)</f>
        <v>0</v>
      </c>
      <c r="U44" s="1029">
        <f>SUM(U23:U41)</f>
        <v>0</v>
      </c>
      <c r="V44" s="1029">
        <f>SUM(V23:V41)</f>
        <v>33521462.748</v>
      </c>
      <c r="W44" s="1029">
        <f>SUM(W23:W41)</f>
        <v>33521462.748</v>
      </c>
      <c r="X44" s="1016">
        <v>2494006.935666667</v>
      </c>
      <c r="Y44" s="1033">
        <f aca="true" t="shared" si="41" ref="Y44:AH44">SUM(Y23:Y41)</f>
        <v>0</v>
      </c>
      <c r="Z44" s="1033">
        <f t="shared" si="41"/>
        <v>0</v>
      </c>
      <c r="AA44" s="1033">
        <f t="shared" si="41"/>
        <v>0</v>
      </c>
      <c r="AB44" s="1033">
        <f t="shared" si="41"/>
        <v>11173820.916000001</v>
      </c>
      <c r="AC44" s="1033">
        <f t="shared" si="41"/>
        <v>11173820.916000001</v>
      </c>
      <c r="AD44" s="1033">
        <f t="shared" si="41"/>
        <v>0</v>
      </c>
      <c r="AE44" s="1033">
        <f t="shared" si="41"/>
        <v>0</v>
      </c>
      <c r="AF44" s="1033">
        <f t="shared" si="41"/>
        <v>0</v>
      </c>
      <c r="AG44" s="1033">
        <f t="shared" si="41"/>
        <v>7821674.6411999995</v>
      </c>
      <c r="AH44" s="1033">
        <f t="shared" si="41"/>
        <v>7821674.6411999995</v>
      </c>
      <c r="AJ44" s="1052"/>
      <c r="AK44" s="1052"/>
      <c r="AL44" s="1053"/>
      <c r="AM44" s="1220"/>
      <c r="AN44" s="1054"/>
      <c r="AQ44" s="1221"/>
      <c r="AR44" s="1053"/>
      <c r="AS44" s="1220"/>
      <c r="AT44" s="1053"/>
      <c r="AU44" s="1055"/>
      <c r="AY44" s="1056"/>
      <c r="AZ44" s="1056"/>
      <c r="BA44" s="1056"/>
      <c r="BB44" s="1056"/>
      <c r="BC44" s="1056"/>
      <c r="BD44" s="1056"/>
      <c r="BE44" s="1056"/>
      <c r="BF44" s="1056"/>
      <c r="BG44" s="1056"/>
      <c r="BH44" s="1056"/>
      <c r="BI44" s="1056"/>
      <c r="BJ44" s="1056"/>
      <c r="BK44" s="1056"/>
      <c r="BL44" s="1056"/>
      <c r="BM44" s="1056"/>
      <c r="BN44" s="1056"/>
      <c r="BO44" s="1056"/>
      <c r="BP44" s="1056"/>
      <c r="BQ44" s="1056"/>
      <c r="BR44" s="1056"/>
      <c r="BS44" s="1056"/>
      <c r="BT44" s="1056"/>
      <c r="BU44" s="1056"/>
      <c r="BV44" s="1056"/>
      <c r="BW44" s="1056"/>
      <c r="BX44" s="1056"/>
      <c r="BY44" s="1056"/>
      <c r="BZ44" s="1056"/>
      <c r="CA44" s="1056"/>
      <c r="CB44" s="1056"/>
      <c r="CC44" s="1056"/>
      <c r="CD44" s="1056"/>
      <c r="CE44" s="1056"/>
      <c r="CF44" s="1056"/>
      <c r="CG44" s="1056"/>
      <c r="CH44" s="1056"/>
      <c r="CI44" s="1056"/>
      <c r="CJ44" s="1056"/>
      <c r="CK44" s="1056"/>
      <c r="CL44" s="1056"/>
      <c r="CM44" s="1056"/>
      <c r="CN44" s="1056"/>
      <c r="CO44" s="1056"/>
      <c r="CP44" s="1056"/>
      <c r="CQ44" s="1056"/>
      <c r="CR44" s="1056"/>
      <c r="CS44" s="1056"/>
      <c r="CT44" s="1056"/>
      <c r="CU44" s="1056"/>
      <c r="CV44" s="1056"/>
      <c r="CW44" s="1056"/>
      <c r="CX44" s="1056"/>
      <c r="CY44" s="1056"/>
      <c r="CZ44" s="1056"/>
      <c r="DA44" s="1056"/>
      <c r="DB44" s="1056"/>
      <c r="DC44" s="1056"/>
      <c r="DD44" s="1056"/>
      <c r="DE44" s="1056"/>
      <c r="DF44" s="1056"/>
      <c r="DG44" s="1056"/>
      <c r="DH44" s="1056"/>
      <c r="DI44" s="1056"/>
      <c r="DJ44" s="1056"/>
      <c r="DK44" s="1056"/>
      <c r="DL44" s="1056"/>
      <c r="DM44" s="1056"/>
      <c r="DN44" s="1056"/>
      <c r="DO44" s="1056"/>
      <c r="DP44" s="1056"/>
      <c r="DQ44" s="1056"/>
      <c r="DR44" s="1056"/>
      <c r="DS44" s="1056"/>
      <c r="DT44" s="1056"/>
      <c r="DU44" s="1056"/>
      <c r="DV44" s="1056"/>
      <c r="DW44" s="1056"/>
      <c r="DX44" s="1056"/>
      <c r="DY44" s="1056"/>
      <c r="DZ44" s="1056"/>
      <c r="EA44" s="1056"/>
      <c r="EB44" s="1056"/>
      <c r="EC44" s="1056"/>
      <c r="ED44" s="1056"/>
      <c r="EE44" s="1056"/>
      <c r="EF44" s="1056"/>
      <c r="EG44" s="1056"/>
      <c r="EH44" s="1056"/>
      <c r="EI44" s="1056"/>
      <c r="EJ44" s="1056"/>
      <c r="EK44" s="1056"/>
      <c r="EL44" s="1056"/>
      <c r="EM44" s="1056"/>
      <c r="EN44" s="1056"/>
      <c r="EO44" s="1056"/>
    </row>
    <row r="45" spans="1:145" ht="15">
      <c r="A45" s="1028" t="s">
        <v>929</v>
      </c>
      <c r="B45" s="1028"/>
      <c r="C45" s="645"/>
      <c r="D45" s="1218"/>
      <c r="F45" s="1219"/>
      <c r="H45" s="1138"/>
      <c r="I45" s="1003"/>
      <c r="J45" s="1138"/>
      <c r="K45" s="1003"/>
      <c r="L45" s="1138"/>
      <c r="M45" s="1003"/>
      <c r="N45" s="1027"/>
      <c r="O45" s="1027"/>
      <c r="P45" s="1006"/>
      <c r="Q45" s="1006"/>
      <c r="R45" s="1007"/>
      <c r="S45" s="1006"/>
      <c r="T45" s="1006"/>
      <c r="U45" s="1006"/>
      <c r="V45" s="1006"/>
      <c r="W45" s="1006"/>
      <c r="X45" s="1016"/>
      <c r="Y45" s="1016"/>
      <c r="Z45" s="1016"/>
      <c r="AA45" s="1016"/>
      <c r="AB45" s="1016"/>
      <c r="AC45" s="1016"/>
      <c r="AD45" s="1016"/>
      <c r="AE45" s="1016"/>
      <c r="AF45" s="1016"/>
      <c r="AG45" s="1016"/>
      <c r="AH45" s="1016"/>
      <c r="AM45" s="1301"/>
      <c r="AQ45" s="1303"/>
      <c r="AS45" s="1301"/>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79"/>
      <c r="DD45" s="1279"/>
      <c r="DE45" s="1279"/>
      <c r="DF45" s="1279"/>
      <c r="DG45" s="1279"/>
      <c r="DH45" s="1279"/>
      <c r="DI45" s="1279"/>
      <c r="DJ45" s="1279"/>
      <c r="DK45" s="1279"/>
      <c r="DL45" s="1279"/>
      <c r="DM45" s="1279"/>
      <c r="DN45" s="1279"/>
      <c r="DO45" s="1279"/>
      <c r="DP45" s="1279"/>
      <c r="DQ45" s="1279"/>
      <c r="DR45" s="1279"/>
      <c r="DS45" s="1279"/>
      <c r="DT45" s="1279"/>
      <c r="DU45" s="1279"/>
      <c r="DV45" s="1279"/>
      <c r="DW45" s="1279"/>
      <c r="DX45" s="1279"/>
      <c r="DY45" s="1279"/>
      <c r="DZ45" s="1279"/>
      <c r="EA45" s="1279"/>
      <c r="EB45" s="1279"/>
      <c r="EC45" s="1279"/>
      <c r="ED45" s="1279"/>
      <c r="EE45" s="1279"/>
      <c r="EF45" s="1279"/>
      <c r="EG45" s="1279"/>
      <c r="EH45" s="1279"/>
      <c r="EI45" s="1279"/>
      <c r="EJ45" s="1279"/>
      <c r="EK45" s="1279"/>
      <c r="EL45" s="1279"/>
      <c r="EM45" s="1279"/>
      <c r="EN45" s="1279"/>
      <c r="EO45" s="1279"/>
    </row>
    <row r="46" spans="1:145" s="1010" customFormat="1" ht="15">
      <c r="A46" s="1011"/>
      <c r="B46" s="1028"/>
      <c r="C46" s="645"/>
      <c r="D46" s="1218"/>
      <c r="E46" s="1001"/>
      <c r="F46" s="1219"/>
      <c r="G46" s="1003"/>
      <c r="H46" s="1138"/>
      <c r="I46" s="1003"/>
      <c r="J46" s="1138" t="e">
        <v>#DIV/0!</v>
      </c>
      <c r="K46" s="1002"/>
      <c r="L46" s="1136"/>
      <c r="M46" s="1002"/>
      <c r="N46" s="1014"/>
      <c r="O46" s="1015"/>
      <c r="P46" s="1006"/>
      <c r="Q46" s="1006"/>
      <c r="R46" s="1007"/>
      <c r="S46" s="1006">
        <f>IF($R46="S/L or L",$P46,0)</f>
        <v>0</v>
      </c>
      <c r="T46" s="1006">
        <f>IF($R46="L",$P46,0)</f>
        <v>0</v>
      </c>
      <c r="U46" s="1006">
        <f>IF($R46="S",$P46,0)</f>
        <v>0</v>
      </c>
      <c r="V46" s="1006">
        <f>IF($R46="F",$P46,0)</f>
        <v>0</v>
      </c>
      <c r="W46" s="1006">
        <f>SUM(S46:V46)</f>
        <v>0</v>
      </c>
      <c r="X46" s="1016" t="s">
        <v>25</v>
      </c>
      <c r="Y46" s="1006">
        <f>IF($R46="S/L or L",$K46,0)</f>
        <v>0</v>
      </c>
      <c r="Z46" s="1006">
        <f>IF($R46="L",$K46,0)</f>
        <v>0</v>
      </c>
      <c r="AA46" s="1006">
        <f>IF($R46="S",$K46,0)</f>
        <v>0</v>
      </c>
      <c r="AB46" s="1006">
        <f>IF($R46="F",$K46,0)</f>
        <v>0</v>
      </c>
      <c r="AC46" s="1009">
        <f>SUM(Y46:AB46)</f>
        <v>0</v>
      </c>
      <c r="AD46" s="1006">
        <f>IF($R46="S/L or L",$O46,0)</f>
        <v>0</v>
      </c>
      <c r="AE46" s="1006">
        <f>IF($R46="L",$O46,0)</f>
        <v>0</v>
      </c>
      <c r="AF46" s="1006">
        <f>IF($R46="S",$O46,0)</f>
        <v>0</v>
      </c>
      <c r="AG46" s="1006">
        <f>IF($R46="F",$O46,0)</f>
        <v>0</v>
      </c>
      <c r="AH46" s="1009">
        <f>SUM(AD46:AG46)</f>
        <v>0</v>
      </c>
      <c r="AJ46" s="1011" t="s">
        <v>47</v>
      </c>
      <c r="AK46" s="1011">
        <v>39</v>
      </c>
      <c r="AL46" s="863">
        <f>'Line Item Descriptions'!F197</f>
        <v>2000</v>
      </c>
      <c r="AM46" s="1177">
        <v>2000</v>
      </c>
      <c r="AN46" s="1012">
        <v>1372</v>
      </c>
      <c r="AQ46" s="1209">
        <v>1372</v>
      </c>
      <c r="AR46" s="863">
        <f>SUM(AL46/AU46)*AN46</f>
        <v>457333.3333333333</v>
      </c>
      <c r="AS46" s="1177">
        <v>457333.3333333333</v>
      </c>
      <c r="AT46" s="863">
        <f>'TAR Numbers'!AL10+'TAR Numbers'!AM10+'TAR Numbers'!AR10+'TAR Numbers'!AS10</f>
        <v>11448627.445</v>
      </c>
      <c r="AU46" s="1007">
        <v>6</v>
      </c>
      <c r="AY46" s="994"/>
      <c r="AZ46" s="994"/>
      <c r="BA46" s="994"/>
      <c r="BB46" s="994"/>
      <c r="BC46" s="994"/>
      <c r="BD46" s="994"/>
      <c r="BE46" s="994"/>
      <c r="BF46" s="994"/>
      <c r="BG46" s="994"/>
      <c r="BH46" s="994"/>
      <c r="BI46" s="994"/>
      <c r="BJ46" s="994"/>
      <c r="BK46" s="994"/>
      <c r="BL46" s="994"/>
      <c r="BM46" s="994"/>
      <c r="BN46" s="994"/>
      <c r="BO46" s="994"/>
      <c r="BP46" s="994"/>
      <c r="BQ46" s="994"/>
      <c r="BR46" s="994"/>
      <c r="BS46" s="994"/>
      <c r="BT46" s="994"/>
      <c r="BU46" s="994"/>
      <c r="BV46" s="994"/>
      <c r="BW46" s="994"/>
      <c r="BX46" s="994"/>
      <c r="BY46" s="994"/>
      <c r="BZ46" s="994"/>
      <c r="CA46" s="994"/>
      <c r="CB46" s="994"/>
      <c r="CC46" s="994"/>
      <c r="CD46" s="994"/>
      <c r="CE46" s="994"/>
      <c r="CF46" s="994"/>
      <c r="CG46" s="994"/>
      <c r="CH46" s="994"/>
      <c r="CI46" s="994"/>
      <c r="CJ46" s="994"/>
      <c r="CK46" s="994"/>
      <c r="CL46" s="994"/>
      <c r="CM46" s="994"/>
      <c r="CN46" s="994"/>
      <c r="CO46" s="994"/>
      <c r="CP46" s="994"/>
      <c r="CQ46" s="994"/>
      <c r="CR46" s="994"/>
      <c r="CS46" s="994"/>
      <c r="CT46" s="994"/>
      <c r="CU46" s="994"/>
      <c r="CV46" s="994"/>
      <c r="CW46" s="994"/>
      <c r="CX46" s="994"/>
      <c r="CY46" s="994"/>
      <c r="CZ46" s="994"/>
      <c r="DA46" s="994"/>
      <c r="DB46" s="994"/>
      <c r="DC46" s="994"/>
      <c r="DD46" s="994"/>
      <c r="DE46" s="994"/>
      <c r="DF46" s="994"/>
      <c r="DG46" s="994"/>
      <c r="DH46" s="994"/>
      <c r="DI46" s="994"/>
      <c r="DJ46" s="994"/>
      <c r="DK46" s="994"/>
      <c r="DL46" s="994"/>
      <c r="DM46" s="994"/>
      <c r="DN46" s="994"/>
      <c r="DO46" s="994"/>
      <c r="DP46" s="994"/>
      <c r="DQ46" s="994"/>
      <c r="DR46" s="994"/>
      <c r="DS46" s="994"/>
      <c r="DT46" s="994"/>
      <c r="DU46" s="994"/>
      <c r="DV46" s="994"/>
      <c r="DW46" s="994"/>
      <c r="DX46" s="994"/>
      <c r="DY46" s="994"/>
      <c r="DZ46" s="994"/>
      <c r="EA46" s="994"/>
      <c r="EB46" s="994"/>
      <c r="EC46" s="994"/>
      <c r="ED46" s="994"/>
      <c r="EE46" s="994"/>
      <c r="EF46" s="994"/>
      <c r="EG46" s="994"/>
      <c r="EH46" s="994"/>
      <c r="EI46" s="994"/>
      <c r="EJ46" s="994"/>
      <c r="EK46" s="994"/>
      <c r="EL46" s="994"/>
      <c r="EM46" s="994"/>
      <c r="EN46" s="994"/>
      <c r="EO46" s="994"/>
    </row>
    <row r="47" spans="1:145" ht="15">
      <c r="A47" s="1324"/>
      <c r="B47" s="1325"/>
      <c r="C47" s="645"/>
      <c r="D47" s="1218"/>
      <c r="F47" s="1219"/>
      <c r="H47" s="1138"/>
      <c r="I47" s="1003"/>
      <c r="J47" s="1138"/>
      <c r="K47" s="1002"/>
      <c r="L47" s="1136"/>
      <c r="M47" s="1002"/>
      <c r="N47" s="1014"/>
      <c r="O47" s="1015"/>
      <c r="P47" s="1006"/>
      <c r="Q47" s="1006"/>
      <c r="R47" s="1007"/>
      <c r="S47" s="1006"/>
      <c r="T47" s="1006"/>
      <c r="U47" s="1006"/>
      <c r="V47" s="1006"/>
      <c r="W47" s="1006"/>
      <c r="X47" s="1016"/>
      <c r="Y47" s="1006"/>
      <c r="Z47" s="1006"/>
      <c r="AA47" s="1006"/>
      <c r="AB47" s="1006"/>
      <c r="AC47" s="1009"/>
      <c r="AD47" s="1006"/>
      <c r="AE47" s="1006"/>
      <c r="AF47" s="1006"/>
      <c r="AG47" s="1006"/>
      <c r="AH47" s="1009"/>
      <c r="AJ47" s="1324" t="s">
        <v>869</v>
      </c>
      <c r="AK47" s="1324"/>
      <c r="AM47" s="1301"/>
      <c r="AQ47" s="1303"/>
      <c r="AS47" s="1301"/>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79"/>
      <c r="DD47" s="1279"/>
      <c r="DE47" s="1279"/>
      <c r="DF47" s="1279"/>
      <c r="DG47" s="1279"/>
      <c r="DH47" s="1279"/>
      <c r="DI47" s="1279"/>
      <c r="DJ47" s="1279"/>
      <c r="DK47" s="1279"/>
      <c r="DL47" s="1279"/>
      <c r="DM47" s="1279"/>
      <c r="DN47" s="1279"/>
      <c r="DO47" s="1279"/>
      <c r="DP47" s="1279"/>
      <c r="DQ47" s="1279"/>
      <c r="DR47" s="1279"/>
      <c r="DS47" s="1279"/>
      <c r="DT47" s="1279"/>
      <c r="DU47" s="1279"/>
      <c r="DV47" s="1279"/>
      <c r="DW47" s="1279"/>
      <c r="DX47" s="1279"/>
      <c r="DY47" s="1279"/>
      <c r="DZ47" s="1279"/>
      <c r="EA47" s="1279"/>
      <c r="EB47" s="1279"/>
      <c r="EC47" s="1279"/>
      <c r="ED47" s="1279"/>
      <c r="EE47" s="1279"/>
      <c r="EF47" s="1279"/>
      <c r="EG47" s="1279"/>
      <c r="EH47" s="1279"/>
      <c r="EI47" s="1279"/>
      <c r="EJ47" s="1279"/>
      <c r="EK47" s="1279"/>
      <c r="EL47" s="1279"/>
      <c r="EM47" s="1279"/>
      <c r="EN47" s="1279"/>
      <c r="EO47" s="1279"/>
    </row>
    <row r="48" spans="1:145" s="1010" customFormat="1" ht="15">
      <c r="A48" s="1011"/>
      <c r="B48" s="1028"/>
      <c r="C48" s="645"/>
      <c r="D48" s="1218"/>
      <c r="E48" s="1013"/>
      <c r="F48" s="1163"/>
      <c r="G48" s="1003"/>
      <c r="H48" s="1138"/>
      <c r="I48" s="1003"/>
      <c r="J48" s="1138"/>
      <c r="K48" s="1002"/>
      <c r="L48" s="1136"/>
      <c r="M48" s="1002"/>
      <c r="N48" s="1014"/>
      <c r="O48" s="1015"/>
      <c r="P48" s="1006"/>
      <c r="Q48" s="1006"/>
      <c r="R48" s="1007"/>
      <c r="S48" s="1006"/>
      <c r="T48" s="1006"/>
      <c r="U48" s="1006"/>
      <c r="V48" s="1006"/>
      <c r="W48" s="1006"/>
      <c r="X48" s="1016"/>
      <c r="Y48" s="1006"/>
      <c r="Z48" s="1006"/>
      <c r="AA48" s="1006"/>
      <c r="AB48" s="1006"/>
      <c r="AC48" s="1009"/>
      <c r="AD48" s="1006"/>
      <c r="AE48" s="1006"/>
      <c r="AF48" s="1006"/>
      <c r="AG48" s="1006"/>
      <c r="AH48" s="1009"/>
      <c r="AJ48" s="1011" t="s">
        <v>856</v>
      </c>
      <c r="AK48" s="1011">
        <v>40</v>
      </c>
      <c r="AL48" s="863">
        <v>3250</v>
      </c>
      <c r="AM48" s="1177">
        <v>3250</v>
      </c>
      <c r="AN48" s="1012">
        <f>Number_of_Classrooms</f>
        <v>42939</v>
      </c>
      <c r="AQ48" s="1209">
        <v>37829</v>
      </c>
      <c r="AR48" s="863">
        <f>SUM(AL48/AU48)*AN48</f>
        <v>23258625</v>
      </c>
      <c r="AS48" s="1177">
        <v>20490708.333333332</v>
      </c>
      <c r="AT48" s="863">
        <f>'TAR Numbers'!AV10+'TAR Numbers'!AW10</f>
        <v>13159149.560000006</v>
      </c>
      <c r="AU48" s="1007">
        <v>6</v>
      </c>
      <c r="AY48" s="994"/>
      <c r="AZ48" s="994"/>
      <c r="BA48" s="994"/>
      <c r="BB48" s="994"/>
      <c r="BC48" s="994"/>
      <c r="BD48" s="994"/>
      <c r="BE48" s="994"/>
      <c r="BF48" s="994"/>
      <c r="BG48" s="994"/>
      <c r="BH48" s="994"/>
      <c r="BI48" s="994"/>
      <c r="BJ48" s="994"/>
      <c r="BK48" s="994"/>
      <c r="BL48" s="994"/>
      <c r="BM48" s="994"/>
      <c r="BN48" s="994"/>
      <c r="BO48" s="994"/>
      <c r="BP48" s="994"/>
      <c r="BQ48" s="994"/>
      <c r="BR48" s="994"/>
      <c r="BS48" s="994"/>
      <c r="BT48" s="994"/>
      <c r="BU48" s="994"/>
      <c r="BV48" s="994"/>
      <c r="BW48" s="994"/>
      <c r="BX48" s="994"/>
      <c r="BY48" s="994"/>
      <c r="BZ48" s="994"/>
      <c r="CA48" s="994"/>
      <c r="CB48" s="994"/>
      <c r="CC48" s="994"/>
      <c r="CD48" s="994"/>
      <c r="CE48" s="994"/>
      <c r="CF48" s="994"/>
      <c r="CG48" s="994"/>
      <c r="CH48" s="994"/>
      <c r="CI48" s="994"/>
      <c r="CJ48" s="994"/>
      <c r="CK48" s="994"/>
      <c r="CL48" s="994"/>
      <c r="CM48" s="994"/>
      <c r="CN48" s="994"/>
      <c r="CO48" s="994"/>
      <c r="CP48" s="994"/>
      <c r="CQ48" s="994"/>
      <c r="CR48" s="994"/>
      <c r="CS48" s="994"/>
      <c r="CT48" s="994"/>
      <c r="CU48" s="994"/>
      <c r="CV48" s="994"/>
      <c r="CW48" s="994"/>
      <c r="CX48" s="994"/>
      <c r="CY48" s="994"/>
      <c r="CZ48" s="994"/>
      <c r="DA48" s="994"/>
      <c r="DB48" s="994"/>
      <c r="DC48" s="994"/>
      <c r="DD48" s="994"/>
      <c r="DE48" s="994"/>
      <c r="DF48" s="994"/>
      <c r="DG48" s="994"/>
      <c r="DH48" s="994"/>
      <c r="DI48" s="994"/>
      <c r="DJ48" s="994"/>
      <c r="DK48" s="994"/>
      <c r="DL48" s="994"/>
      <c r="DM48" s="994"/>
      <c r="DN48" s="994"/>
      <c r="DO48" s="994"/>
      <c r="DP48" s="994"/>
      <c r="DQ48" s="994"/>
      <c r="DR48" s="994"/>
      <c r="DS48" s="994"/>
      <c r="DT48" s="994"/>
      <c r="DU48" s="994"/>
      <c r="DV48" s="994"/>
      <c r="DW48" s="994"/>
      <c r="DX48" s="994"/>
      <c r="DY48" s="994"/>
      <c r="DZ48" s="994"/>
      <c r="EA48" s="994"/>
      <c r="EB48" s="994"/>
      <c r="EC48" s="994"/>
      <c r="ED48" s="994"/>
      <c r="EE48" s="994"/>
      <c r="EF48" s="994"/>
      <c r="EG48" s="994"/>
      <c r="EH48" s="994"/>
      <c r="EI48" s="994"/>
      <c r="EJ48" s="994"/>
      <c r="EK48" s="994"/>
      <c r="EL48" s="994"/>
      <c r="EM48" s="994"/>
      <c r="EN48" s="994"/>
      <c r="EO48" s="994"/>
    </row>
    <row r="49" spans="1:145" s="1010" customFormat="1" ht="15">
      <c r="A49" s="1011"/>
      <c r="B49" s="1028"/>
      <c r="C49" s="645"/>
      <c r="D49" s="1218"/>
      <c r="E49" s="1013"/>
      <c r="F49" s="1163"/>
      <c r="G49" s="1003"/>
      <c r="H49" s="1138"/>
      <c r="I49" s="1003"/>
      <c r="J49" s="1138"/>
      <c r="K49" s="1002"/>
      <c r="L49" s="1136"/>
      <c r="M49" s="1002"/>
      <c r="N49" s="1014"/>
      <c r="O49" s="1015"/>
      <c r="P49" s="1006"/>
      <c r="Q49" s="1006"/>
      <c r="R49" s="1007"/>
      <c r="S49" s="1006"/>
      <c r="T49" s="1006"/>
      <c r="U49" s="1006"/>
      <c r="V49" s="1006"/>
      <c r="W49" s="1006"/>
      <c r="X49" s="1016"/>
      <c r="Y49" s="1006"/>
      <c r="Z49" s="1006"/>
      <c r="AA49" s="1006"/>
      <c r="AB49" s="1006"/>
      <c r="AC49" s="1009"/>
      <c r="AD49" s="1006"/>
      <c r="AE49" s="1006"/>
      <c r="AF49" s="1006"/>
      <c r="AG49" s="1006"/>
      <c r="AH49" s="1009"/>
      <c r="AJ49" s="1253" t="s">
        <v>870</v>
      </c>
      <c r="AK49" s="1253"/>
      <c r="AL49" s="863"/>
      <c r="AM49" s="1177"/>
      <c r="AN49" s="1012"/>
      <c r="AQ49" s="1209"/>
      <c r="AR49" s="863"/>
      <c r="AS49" s="1177"/>
      <c r="AT49" s="863"/>
      <c r="AU49" s="1007"/>
      <c r="AY49" s="994"/>
      <c r="AZ49" s="994"/>
      <c r="BA49" s="994"/>
      <c r="BB49" s="994"/>
      <c r="BC49" s="994"/>
      <c r="BD49" s="994"/>
      <c r="BE49" s="994"/>
      <c r="BF49" s="994"/>
      <c r="BG49" s="994"/>
      <c r="BH49" s="994"/>
      <c r="BI49" s="994"/>
      <c r="BJ49" s="994"/>
      <c r="BK49" s="994"/>
      <c r="BL49" s="994"/>
      <c r="BM49" s="994"/>
      <c r="BN49" s="994"/>
      <c r="BO49" s="994"/>
      <c r="BP49" s="994"/>
      <c r="BQ49" s="994"/>
      <c r="BR49" s="994"/>
      <c r="BS49" s="994"/>
      <c r="BT49" s="994"/>
      <c r="BU49" s="994"/>
      <c r="BV49" s="994"/>
      <c r="BW49" s="994"/>
      <c r="BX49" s="994"/>
      <c r="BY49" s="994"/>
      <c r="BZ49" s="994"/>
      <c r="CA49" s="994"/>
      <c r="CB49" s="994"/>
      <c r="CC49" s="994"/>
      <c r="CD49" s="994"/>
      <c r="CE49" s="994"/>
      <c r="CF49" s="994"/>
      <c r="CG49" s="994"/>
      <c r="CH49" s="994"/>
      <c r="CI49" s="994"/>
      <c r="CJ49" s="994"/>
      <c r="CK49" s="994"/>
      <c r="CL49" s="994"/>
      <c r="CM49" s="994"/>
      <c r="CN49" s="994"/>
      <c r="CO49" s="994"/>
      <c r="CP49" s="994"/>
      <c r="CQ49" s="994"/>
      <c r="CR49" s="994"/>
      <c r="CS49" s="994"/>
      <c r="CT49" s="994"/>
      <c r="CU49" s="994"/>
      <c r="CV49" s="994"/>
      <c r="CW49" s="994"/>
      <c r="CX49" s="994"/>
      <c r="CY49" s="994"/>
      <c r="CZ49" s="994"/>
      <c r="DA49" s="994"/>
      <c r="DB49" s="994"/>
      <c r="DC49" s="994"/>
      <c r="DD49" s="994"/>
      <c r="DE49" s="994"/>
      <c r="DF49" s="994"/>
      <c r="DG49" s="994"/>
      <c r="DH49" s="994"/>
      <c r="DI49" s="994"/>
      <c r="DJ49" s="994"/>
      <c r="DK49" s="994"/>
      <c r="DL49" s="994"/>
      <c r="DM49" s="994"/>
      <c r="DN49" s="994"/>
      <c r="DO49" s="994"/>
      <c r="DP49" s="994"/>
      <c r="DQ49" s="994"/>
      <c r="DR49" s="994"/>
      <c r="DS49" s="994"/>
      <c r="DT49" s="994"/>
      <c r="DU49" s="994"/>
      <c r="DV49" s="994"/>
      <c r="DW49" s="994"/>
      <c r="DX49" s="994"/>
      <c r="DY49" s="994"/>
      <c r="DZ49" s="994"/>
      <c r="EA49" s="994"/>
      <c r="EB49" s="994"/>
      <c r="EC49" s="994"/>
      <c r="ED49" s="994"/>
      <c r="EE49" s="994"/>
      <c r="EF49" s="994"/>
      <c r="EG49" s="994"/>
      <c r="EH49" s="994"/>
      <c r="EI49" s="994"/>
      <c r="EJ49" s="994"/>
      <c r="EK49" s="994"/>
      <c r="EL49" s="994"/>
      <c r="EM49" s="994"/>
      <c r="EN49" s="994"/>
      <c r="EO49" s="994"/>
    </row>
    <row r="50" spans="1:145" ht="15">
      <c r="A50" s="1011" t="s">
        <v>49</v>
      </c>
      <c r="B50" s="1028">
        <v>72</v>
      </c>
      <c r="C50" s="645">
        <f>'Line Item Descriptions'!F49</f>
        <v>33265</v>
      </c>
      <c r="D50" s="1218">
        <v>24665</v>
      </c>
      <c r="E50" s="1001">
        <f>Number_of_Schools</f>
        <v>1247</v>
      </c>
      <c r="F50" s="1219">
        <v>1416</v>
      </c>
      <c r="G50" s="1003">
        <f>(C50*E50*0.05)</f>
        <v>2074072.75</v>
      </c>
      <c r="H50" s="1138">
        <v>1746282</v>
      </c>
      <c r="I50" s="1003">
        <f>K50/E50</f>
        <v>2217.666666666667</v>
      </c>
      <c r="J50" s="1138">
        <v>1644.3333333333333</v>
      </c>
      <c r="K50" s="1002">
        <f>P50/BudgetYears</f>
        <v>2765430.3333333335</v>
      </c>
      <c r="L50" s="1136">
        <v>2328376</v>
      </c>
      <c r="M50" s="1002">
        <f>'TAR Numbers'!AT10+'TAR Numbers'!AU10</f>
        <v>1079326.855</v>
      </c>
      <c r="N50" s="1014">
        <v>15</v>
      </c>
      <c r="O50" s="1015">
        <f>(USFInternal)*K50</f>
        <v>1935801.2333333334</v>
      </c>
      <c r="P50" s="1006">
        <f>(C50*E50)*(BudgetYears/N50)</f>
        <v>16592582</v>
      </c>
      <c r="Q50" s="1006">
        <f>(P50)-(O50*3)</f>
        <v>10785178.3</v>
      </c>
      <c r="R50" s="1007" t="s">
        <v>1913</v>
      </c>
      <c r="S50" s="1006">
        <f>IF($R50="S/L or L",$P50,0)</f>
        <v>0</v>
      </c>
      <c r="T50" s="1006">
        <f>IF($R50="L",$P50,0)</f>
        <v>0</v>
      </c>
      <c r="U50" s="1006">
        <f>IF($R50="S",$P50,0)</f>
        <v>0</v>
      </c>
      <c r="V50" s="1006">
        <f>IF($R50="F",$P50,0)</f>
        <v>0</v>
      </c>
      <c r="W50" s="1006">
        <f>SUM(S50:V50)</f>
        <v>0</v>
      </c>
      <c r="X50" s="1016" t="s">
        <v>25</v>
      </c>
      <c r="Y50" s="1006">
        <f>IF($R50="S/L or L",$K50,0)</f>
        <v>0</v>
      </c>
      <c r="Z50" s="1006">
        <f>IF($R50="L",$K50,0)</f>
        <v>0</v>
      </c>
      <c r="AA50" s="1006">
        <f>IF($R50="S",$K50,0)</f>
        <v>0</v>
      </c>
      <c r="AB50" s="1006">
        <f>IF($R50="F",$K50,0)</f>
        <v>0</v>
      </c>
      <c r="AC50" s="1009">
        <f>SUM(Y50:AB50)</f>
        <v>0</v>
      </c>
      <c r="AD50" s="1006">
        <f>IF($R50="S/L or L",$O50,0)</f>
        <v>0</v>
      </c>
      <c r="AE50" s="1006">
        <f>IF($R50="L",$O50,0)</f>
        <v>0</v>
      </c>
      <c r="AF50" s="1006">
        <f>IF($R50="S",$O50,0)</f>
        <v>0</v>
      </c>
      <c r="AG50" s="1006">
        <f>IF($R50="F",$O50,0)</f>
        <v>0</v>
      </c>
      <c r="AH50" s="1009">
        <f>SUM(AD50:AG50)</f>
        <v>0</v>
      </c>
      <c r="AM50" s="1301"/>
      <c r="AQ50" s="1303"/>
      <c r="AS50" s="1301"/>
      <c r="AY50" s="1279"/>
      <c r="AZ50" s="1279"/>
      <c r="BA50" s="1279"/>
      <c r="BB50" s="1279"/>
      <c r="BC50" s="1279"/>
      <c r="BD50" s="1279"/>
      <c r="BE50" s="1279"/>
      <c r="BF50" s="1279"/>
      <c r="BG50" s="1279"/>
      <c r="BH50" s="1279"/>
      <c r="BI50" s="1279"/>
      <c r="BJ50" s="1279"/>
      <c r="BK50" s="1279"/>
      <c r="BL50" s="1279"/>
      <c r="BM50" s="1279"/>
      <c r="BN50" s="1279"/>
      <c r="BO50" s="1279"/>
      <c r="BP50" s="1279"/>
      <c r="BQ50" s="1279"/>
      <c r="BR50" s="1279"/>
      <c r="BS50" s="1279"/>
      <c r="BT50" s="1279"/>
      <c r="BU50" s="1279"/>
      <c r="BV50" s="1279"/>
      <c r="BW50" s="1279"/>
      <c r="BX50" s="1279"/>
      <c r="BY50" s="1279"/>
      <c r="BZ50" s="1279"/>
      <c r="CA50" s="1279"/>
      <c r="CB50" s="1279"/>
      <c r="CC50" s="1279"/>
      <c r="CD50" s="1279"/>
      <c r="CE50" s="1279"/>
      <c r="CF50" s="1279"/>
      <c r="CG50" s="1279"/>
      <c r="CH50" s="1279"/>
      <c r="CI50" s="1279"/>
      <c r="CJ50" s="1279"/>
      <c r="CK50" s="1279"/>
      <c r="CL50" s="1279"/>
      <c r="CM50" s="1279"/>
      <c r="CN50" s="1279"/>
      <c r="CO50" s="1279"/>
      <c r="CP50" s="1279"/>
      <c r="CQ50" s="1279"/>
      <c r="CR50" s="1279"/>
      <c r="CS50" s="1279"/>
      <c r="CT50" s="1279"/>
      <c r="CU50" s="1279"/>
      <c r="CV50" s="1279"/>
      <c r="CW50" s="1279"/>
      <c r="CX50" s="1279"/>
      <c r="CY50" s="1279"/>
      <c r="CZ50" s="1279"/>
      <c r="DA50" s="1279"/>
      <c r="DB50" s="1279"/>
      <c r="DC50" s="1279"/>
      <c r="DD50" s="1279"/>
      <c r="DE50" s="1279"/>
      <c r="DF50" s="1279"/>
      <c r="DG50" s="1279"/>
      <c r="DH50" s="1279"/>
      <c r="DI50" s="1279"/>
      <c r="DJ50" s="1279"/>
      <c r="DK50" s="1279"/>
      <c r="DL50" s="1279"/>
      <c r="DM50" s="1279"/>
      <c r="DN50" s="1279"/>
      <c r="DO50" s="1279"/>
      <c r="DP50" s="1279"/>
      <c r="DQ50" s="1279"/>
      <c r="DR50" s="1279"/>
      <c r="DS50" s="1279"/>
      <c r="DT50" s="1279"/>
      <c r="DU50" s="1279"/>
      <c r="DV50" s="1279"/>
      <c r="DW50" s="1279"/>
      <c r="DX50" s="1279"/>
      <c r="DY50" s="1279"/>
      <c r="DZ50" s="1279"/>
      <c r="EA50" s="1279"/>
      <c r="EB50" s="1279"/>
      <c r="EC50" s="1279"/>
      <c r="ED50" s="1279"/>
      <c r="EE50" s="1279"/>
      <c r="EF50" s="1279"/>
      <c r="EG50" s="1279"/>
      <c r="EH50" s="1279"/>
      <c r="EI50" s="1279"/>
      <c r="EJ50" s="1279"/>
      <c r="EK50" s="1279"/>
      <c r="EL50" s="1279"/>
      <c r="EM50" s="1279"/>
      <c r="EN50" s="1279"/>
      <c r="EO50" s="1279"/>
    </row>
    <row r="51" spans="1:145" ht="15">
      <c r="A51" s="1034" t="s">
        <v>50</v>
      </c>
      <c r="B51" s="1034"/>
      <c r="C51" s="645"/>
      <c r="D51" s="1218"/>
      <c r="F51" s="1219"/>
      <c r="G51" s="1051">
        <f>SUM(G46:G50)</f>
        <v>2074072.75</v>
      </c>
      <c r="H51" s="1141">
        <v>1746282</v>
      </c>
      <c r="I51" s="1003"/>
      <c r="J51" s="1138"/>
      <c r="K51" s="1051">
        <f>SUM(K46:K50)</f>
        <v>2765430.3333333335</v>
      </c>
      <c r="L51" s="1141">
        <v>2328376</v>
      </c>
      <c r="M51" s="1051">
        <f>SUM(M46:M50)</f>
        <v>1079326.855</v>
      </c>
      <c r="N51" s="1027"/>
      <c r="O51" s="1051">
        <f aca="true" t="shared" si="42" ref="O51:W51">SUM(O46:O50)</f>
        <v>1935801.2333333334</v>
      </c>
      <c r="P51" s="1029">
        <f t="shared" si="42"/>
        <v>16592582</v>
      </c>
      <c r="Q51" s="1029">
        <f t="shared" si="42"/>
        <v>10785178.3</v>
      </c>
      <c r="R51" s="1007" t="s">
        <v>25</v>
      </c>
      <c r="S51" s="1029">
        <f t="shared" si="42"/>
        <v>0</v>
      </c>
      <c r="T51" s="1029">
        <f t="shared" si="42"/>
        <v>0</v>
      </c>
      <c r="U51" s="1029">
        <f t="shared" si="42"/>
        <v>0</v>
      </c>
      <c r="V51" s="1029">
        <f t="shared" si="42"/>
        <v>0</v>
      </c>
      <c r="W51" s="1029">
        <f t="shared" si="42"/>
        <v>0</v>
      </c>
      <c r="X51" s="1016">
        <v>0</v>
      </c>
      <c r="Y51" s="1033">
        <f aca="true" t="shared" si="43" ref="Y51:AH51">SUM(Y46:Y50)</f>
        <v>0</v>
      </c>
      <c r="Z51" s="1033">
        <f t="shared" si="43"/>
        <v>0</v>
      </c>
      <c r="AA51" s="1033">
        <f t="shared" si="43"/>
        <v>0</v>
      </c>
      <c r="AB51" s="1033">
        <f t="shared" si="43"/>
        <v>0</v>
      </c>
      <c r="AC51" s="1033">
        <f t="shared" si="43"/>
        <v>0</v>
      </c>
      <c r="AD51" s="1033">
        <f t="shared" si="43"/>
        <v>0</v>
      </c>
      <c r="AE51" s="1033">
        <f t="shared" si="43"/>
        <v>0</v>
      </c>
      <c r="AF51" s="1033">
        <f t="shared" si="43"/>
        <v>0</v>
      </c>
      <c r="AG51" s="1033">
        <f t="shared" si="43"/>
        <v>0</v>
      </c>
      <c r="AH51" s="1033">
        <f t="shared" si="43"/>
        <v>0</v>
      </c>
      <c r="AM51" s="1301"/>
      <c r="AQ51" s="1303"/>
      <c r="AS51" s="1301"/>
      <c r="AY51" s="1279"/>
      <c r="AZ51" s="1279"/>
      <c r="BA51" s="1279"/>
      <c r="BB51" s="1279"/>
      <c r="BC51" s="1279"/>
      <c r="BD51" s="1279"/>
      <c r="BE51" s="1279"/>
      <c r="BF51" s="1279"/>
      <c r="BG51" s="1279"/>
      <c r="BH51" s="1279"/>
      <c r="BI51" s="1279"/>
      <c r="BJ51" s="1279"/>
      <c r="BK51" s="1279"/>
      <c r="BL51" s="1279"/>
      <c r="BM51" s="1279"/>
      <c r="BN51" s="1279"/>
      <c r="BO51" s="1279"/>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c r="DD51" s="1279"/>
      <c r="DE51" s="1279"/>
      <c r="DF51" s="1279"/>
      <c r="DG51" s="1279"/>
      <c r="DH51" s="1279"/>
      <c r="DI51" s="1279"/>
      <c r="DJ51" s="1279"/>
      <c r="DK51" s="1279"/>
      <c r="DL51" s="1279"/>
      <c r="DM51" s="1279"/>
      <c r="DN51" s="1279"/>
      <c r="DO51" s="1279"/>
      <c r="DP51" s="1279"/>
      <c r="DQ51" s="1279"/>
      <c r="DR51" s="1279"/>
      <c r="DS51" s="1279"/>
      <c r="DT51" s="1279"/>
      <c r="DU51" s="1279"/>
      <c r="DV51" s="1279"/>
      <c r="DW51" s="1279"/>
      <c r="DX51" s="1279"/>
      <c r="DY51" s="1279"/>
      <c r="DZ51" s="1279"/>
      <c r="EA51" s="1279"/>
      <c r="EB51" s="1279"/>
      <c r="EC51" s="1279"/>
      <c r="ED51" s="1279"/>
      <c r="EE51" s="1279"/>
      <c r="EF51" s="1279"/>
      <c r="EG51" s="1279"/>
      <c r="EH51" s="1279"/>
      <c r="EI51" s="1279"/>
      <c r="EJ51" s="1279"/>
      <c r="EK51" s="1279"/>
      <c r="EL51" s="1279"/>
      <c r="EM51" s="1279"/>
      <c r="EN51" s="1279"/>
      <c r="EO51" s="1279"/>
    </row>
    <row r="52" spans="1:145" s="1287" customFormat="1" ht="15">
      <c r="A52" s="985" t="s">
        <v>51</v>
      </c>
      <c r="B52" s="985"/>
      <c r="C52" s="986"/>
      <c r="D52" s="1150"/>
      <c r="E52" s="987"/>
      <c r="F52" s="1161"/>
      <c r="G52" s="988"/>
      <c r="H52" s="1134"/>
      <c r="I52" s="988"/>
      <c r="J52" s="1134"/>
      <c r="K52" s="988"/>
      <c r="L52" s="1134"/>
      <c r="M52" s="988"/>
      <c r="N52" s="989"/>
      <c r="O52" s="989"/>
      <c r="P52" s="990"/>
      <c r="Q52" s="990"/>
      <c r="R52" s="991"/>
      <c r="S52" s="990"/>
      <c r="T52" s="990"/>
      <c r="U52" s="990"/>
      <c r="V52" s="990"/>
      <c r="W52" s="990"/>
      <c r="X52" s="992"/>
      <c r="Y52" s="992"/>
      <c r="Z52" s="992"/>
      <c r="AA52" s="992"/>
      <c r="AB52" s="992"/>
      <c r="AC52" s="992"/>
      <c r="AD52" s="992"/>
      <c r="AE52" s="992"/>
      <c r="AF52" s="992"/>
      <c r="AG52" s="992"/>
      <c r="AH52" s="992"/>
      <c r="AJ52" s="1288"/>
      <c r="AK52" s="1288"/>
      <c r="AL52" s="1289"/>
      <c r="AM52" s="1290"/>
      <c r="AN52" s="1291"/>
      <c r="AQ52" s="1292"/>
      <c r="AR52" s="1289"/>
      <c r="AS52" s="1290"/>
      <c r="AT52" s="1289"/>
      <c r="AU52" s="1293"/>
      <c r="AY52" s="1279"/>
      <c r="AZ52" s="1279"/>
      <c r="BA52" s="1279"/>
      <c r="BB52" s="1279"/>
      <c r="BC52" s="1279"/>
      <c r="BD52" s="1279"/>
      <c r="BE52" s="1279"/>
      <c r="BF52" s="1279"/>
      <c r="BG52" s="1279"/>
      <c r="BH52" s="1279"/>
      <c r="BI52" s="1279"/>
      <c r="BJ52" s="1279"/>
      <c r="BK52" s="1279"/>
      <c r="BL52" s="1279"/>
      <c r="BM52" s="1279"/>
      <c r="BN52" s="1279"/>
      <c r="BO52" s="1279"/>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c r="DD52" s="1279"/>
      <c r="DE52" s="1279"/>
      <c r="DF52" s="1279"/>
      <c r="DG52" s="1279"/>
      <c r="DH52" s="1279"/>
      <c r="DI52" s="1279"/>
      <c r="DJ52" s="1279"/>
      <c r="DK52" s="1279"/>
      <c r="DL52" s="1279"/>
      <c r="DM52" s="1279"/>
      <c r="DN52" s="1279"/>
      <c r="DO52" s="1279"/>
      <c r="DP52" s="1279"/>
      <c r="DQ52" s="1279"/>
      <c r="DR52" s="1279"/>
      <c r="DS52" s="1279"/>
      <c r="DT52" s="1279"/>
      <c r="DU52" s="1279"/>
      <c r="DV52" s="1279"/>
      <c r="DW52" s="1279"/>
      <c r="DX52" s="1279"/>
      <c r="DY52" s="1279"/>
      <c r="DZ52" s="1279"/>
      <c r="EA52" s="1279"/>
      <c r="EB52" s="1279"/>
      <c r="EC52" s="1279"/>
      <c r="ED52" s="1279"/>
      <c r="EE52" s="1279"/>
      <c r="EF52" s="1279"/>
      <c r="EG52" s="1279"/>
      <c r="EH52" s="1279"/>
      <c r="EI52" s="1279"/>
      <c r="EJ52" s="1279"/>
      <c r="EK52" s="1279"/>
      <c r="EL52" s="1279"/>
      <c r="EM52" s="1279"/>
      <c r="EN52" s="1279"/>
      <c r="EO52" s="1279"/>
    </row>
    <row r="53" spans="1:145" ht="15">
      <c r="A53" s="1011"/>
      <c r="B53" s="1028"/>
      <c r="C53" s="645"/>
      <c r="D53" s="1218"/>
      <c r="F53" s="1219"/>
      <c r="G53" s="1051"/>
      <c r="H53" s="1141"/>
      <c r="I53" s="1003"/>
      <c r="J53" s="1138"/>
      <c r="K53" s="1002"/>
      <c r="L53" s="1136"/>
      <c r="M53" s="1002"/>
      <c r="N53" s="1014"/>
      <c r="O53" s="1015"/>
      <c r="P53" s="1006"/>
      <c r="Q53" s="1006"/>
      <c r="R53" s="1007"/>
      <c r="S53" s="1006"/>
      <c r="T53" s="1006"/>
      <c r="U53" s="1006"/>
      <c r="V53" s="1006"/>
      <c r="W53" s="1006"/>
      <c r="X53" s="1016"/>
      <c r="Y53" s="1006"/>
      <c r="Z53" s="1006"/>
      <c r="AA53" s="1006"/>
      <c r="AB53" s="1006"/>
      <c r="AC53" s="1009"/>
      <c r="AD53" s="1006"/>
      <c r="AE53" s="1006"/>
      <c r="AF53" s="1006"/>
      <c r="AG53" s="1006"/>
      <c r="AH53" s="1009"/>
      <c r="AJ53" s="1253" t="s">
        <v>736</v>
      </c>
      <c r="AK53" s="1253">
        <v>17</v>
      </c>
      <c r="AM53" s="1301"/>
      <c r="AQ53" s="1303"/>
      <c r="AS53" s="1301"/>
      <c r="AY53" s="1279"/>
      <c r="AZ53" s="1279"/>
      <c r="BA53" s="1279"/>
      <c r="BB53" s="1279"/>
      <c r="BC53" s="1279"/>
      <c r="BD53" s="1279"/>
      <c r="BE53" s="1279"/>
      <c r="BF53" s="1279"/>
      <c r="BG53" s="1279"/>
      <c r="BH53" s="1279"/>
      <c r="BI53" s="1279"/>
      <c r="BJ53" s="1279"/>
      <c r="BK53" s="1279"/>
      <c r="BL53" s="1279"/>
      <c r="BM53" s="1279"/>
      <c r="BN53" s="1279"/>
      <c r="BO53" s="1279"/>
      <c r="BP53" s="1279"/>
      <c r="BQ53" s="1279"/>
      <c r="BR53" s="1279"/>
      <c r="BS53" s="1279"/>
      <c r="BT53" s="1279"/>
      <c r="BU53" s="1279"/>
      <c r="BV53" s="1279"/>
      <c r="BW53" s="1279"/>
      <c r="BX53" s="1279"/>
      <c r="BY53" s="1279"/>
      <c r="BZ53" s="1279"/>
      <c r="CA53" s="1279"/>
      <c r="CB53" s="1279"/>
      <c r="CC53" s="1279"/>
      <c r="CD53" s="1279"/>
      <c r="CE53" s="1279"/>
      <c r="CF53" s="1279"/>
      <c r="CG53" s="1279"/>
      <c r="CH53" s="1279"/>
      <c r="CI53" s="1279"/>
      <c r="CJ53" s="1279"/>
      <c r="CK53" s="1279"/>
      <c r="CL53" s="1279"/>
      <c r="CM53" s="1279"/>
      <c r="CN53" s="1279"/>
      <c r="CO53" s="1279"/>
      <c r="CP53" s="1279"/>
      <c r="CQ53" s="1279"/>
      <c r="CR53" s="1279"/>
      <c r="CS53" s="1279"/>
      <c r="CT53" s="1279"/>
      <c r="CU53" s="1279"/>
      <c r="CV53" s="1279"/>
      <c r="CW53" s="1279"/>
      <c r="CX53" s="1279"/>
      <c r="CY53" s="1279"/>
      <c r="CZ53" s="1279"/>
      <c r="DA53" s="1279"/>
      <c r="DB53" s="1279"/>
      <c r="DC53" s="1279"/>
      <c r="DD53" s="1279"/>
      <c r="DE53" s="1279"/>
      <c r="DF53" s="1279"/>
      <c r="DG53" s="1279"/>
      <c r="DH53" s="1279"/>
      <c r="DI53" s="1279"/>
      <c r="DJ53" s="1279"/>
      <c r="DK53" s="1279"/>
      <c r="DL53" s="1279"/>
      <c r="DM53" s="1279"/>
      <c r="DN53" s="1279"/>
      <c r="DO53" s="1279"/>
      <c r="DP53" s="1279"/>
      <c r="DQ53" s="1279"/>
      <c r="DR53" s="1279"/>
      <c r="DS53" s="1279"/>
      <c r="DT53" s="1279"/>
      <c r="DU53" s="1279"/>
      <c r="DV53" s="1279"/>
      <c r="DW53" s="1279"/>
      <c r="DX53" s="1279"/>
      <c r="DY53" s="1279"/>
      <c r="DZ53" s="1279"/>
      <c r="EA53" s="1279"/>
      <c r="EB53" s="1279"/>
      <c r="EC53" s="1279"/>
      <c r="ED53" s="1279"/>
      <c r="EE53" s="1279"/>
      <c r="EF53" s="1279"/>
      <c r="EG53" s="1279"/>
      <c r="EH53" s="1279"/>
      <c r="EI53" s="1279"/>
      <c r="EJ53" s="1279"/>
      <c r="EK53" s="1279"/>
      <c r="EL53" s="1279"/>
      <c r="EM53" s="1279"/>
      <c r="EN53" s="1279"/>
      <c r="EO53" s="1279"/>
    </row>
    <row r="54" spans="1:145" s="972" customFormat="1" ht="15">
      <c r="A54" s="1028"/>
      <c r="B54" s="1028"/>
      <c r="C54" s="656"/>
      <c r="D54" s="1156"/>
      <c r="E54" s="1050"/>
      <c r="F54" s="1167"/>
      <c r="G54" s="1051"/>
      <c r="H54" s="1141"/>
      <c r="I54" s="1051"/>
      <c r="J54" s="1141"/>
      <c r="K54" s="1051"/>
      <c r="L54" s="1141"/>
      <c r="M54" s="1051"/>
      <c r="N54" s="1019"/>
      <c r="O54" s="1019"/>
      <c r="P54" s="1029"/>
      <c r="Q54" s="1029"/>
      <c r="R54" s="1041"/>
      <c r="S54" s="1029"/>
      <c r="T54" s="1029"/>
      <c r="U54" s="1029"/>
      <c r="V54" s="1029"/>
      <c r="W54" s="1029"/>
      <c r="X54" s="1009"/>
      <c r="Y54" s="1009"/>
      <c r="Z54" s="1009"/>
      <c r="AA54" s="1009"/>
      <c r="AB54" s="1009"/>
      <c r="AC54" s="1009"/>
      <c r="AD54" s="1009"/>
      <c r="AE54" s="1009"/>
      <c r="AF54" s="1009"/>
      <c r="AG54" s="1009"/>
      <c r="AH54" s="1009"/>
      <c r="AJ54" s="1052"/>
      <c r="AK54" s="1052"/>
      <c r="AL54" s="1053"/>
      <c r="AM54" s="1220"/>
      <c r="AN54" s="1054"/>
      <c r="AQ54" s="1221"/>
      <c r="AR54" s="1053"/>
      <c r="AS54" s="1220"/>
      <c r="AT54" s="1053"/>
      <c r="AU54" s="1055"/>
      <c r="AY54" s="1056"/>
      <c r="AZ54" s="1056"/>
      <c r="BA54" s="1056"/>
      <c r="BB54" s="1056"/>
      <c r="BC54" s="1056"/>
      <c r="BD54" s="1056"/>
      <c r="BE54" s="1056"/>
      <c r="BF54" s="1056"/>
      <c r="BG54" s="1056"/>
      <c r="BH54" s="1056"/>
      <c r="BI54" s="1056"/>
      <c r="BJ54" s="1056"/>
      <c r="BK54" s="1056"/>
      <c r="BL54" s="1056"/>
      <c r="BM54" s="1056"/>
      <c r="BN54" s="1056"/>
      <c r="BO54" s="1056"/>
      <c r="BP54" s="1056"/>
      <c r="BQ54" s="1056"/>
      <c r="BR54" s="1056"/>
      <c r="BS54" s="1056"/>
      <c r="BT54" s="1056"/>
      <c r="BU54" s="1056"/>
      <c r="BV54" s="1056"/>
      <c r="BW54" s="1056"/>
      <c r="BX54" s="1056"/>
      <c r="BY54" s="1056"/>
      <c r="BZ54" s="1056"/>
      <c r="CA54" s="1056"/>
      <c r="CB54" s="1056"/>
      <c r="CC54" s="1056"/>
      <c r="CD54" s="1056"/>
      <c r="CE54" s="1056"/>
      <c r="CF54" s="1056"/>
      <c r="CG54" s="1056"/>
      <c r="CH54" s="1056"/>
      <c r="CI54" s="1056"/>
      <c r="CJ54" s="1056"/>
      <c r="CK54" s="1056"/>
      <c r="CL54" s="1056"/>
      <c r="CM54" s="1056"/>
      <c r="CN54" s="1056"/>
      <c r="CO54" s="1056"/>
      <c r="CP54" s="1056"/>
      <c r="CQ54" s="1056"/>
      <c r="CR54" s="1056"/>
      <c r="CS54" s="1056"/>
      <c r="CT54" s="1056"/>
      <c r="CU54" s="1056"/>
      <c r="CV54" s="1056"/>
      <c r="CW54" s="1056"/>
      <c r="CX54" s="1056"/>
      <c r="CY54" s="1056"/>
      <c r="CZ54" s="1056"/>
      <c r="DA54" s="1056"/>
      <c r="DB54" s="1056"/>
      <c r="DC54" s="1056"/>
      <c r="DD54" s="1056"/>
      <c r="DE54" s="1056"/>
      <c r="DF54" s="1056"/>
      <c r="DG54" s="1056"/>
      <c r="DH54" s="1056"/>
      <c r="DI54" s="1056"/>
      <c r="DJ54" s="1056"/>
      <c r="DK54" s="1056"/>
      <c r="DL54" s="1056"/>
      <c r="DM54" s="1056"/>
      <c r="DN54" s="1056"/>
      <c r="DO54" s="1056"/>
      <c r="DP54" s="1056"/>
      <c r="DQ54" s="1056"/>
      <c r="DR54" s="1056"/>
      <c r="DS54" s="1056"/>
      <c r="DT54" s="1056"/>
      <c r="DU54" s="1056"/>
      <c r="DV54" s="1056"/>
      <c r="DW54" s="1056"/>
      <c r="DX54" s="1056"/>
      <c r="DY54" s="1056"/>
      <c r="DZ54" s="1056"/>
      <c r="EA54" s="1056"/>
      <c r="EB54" s="1056"/>
      <c r="EC54" s="1056"/>
      <c r="ED54" s="1056"/>
      <c r="EE54" s="1056"/>
      <c r="EF54" s="1056"/>
      <c r="EG54" s="1056"/>
      <c r="EH54" s="1056"/>
      <c r="EI54" s="1056"/>
      <c r="EJ54" s="1056"/>
      <c r="EK54" s="1056"/>
      <c r="EL54" s="1056"/>
      <c r="EM54" s="1056"/>
      <c r="EN54" s="1056"/>
      <c r="EO54" s="1056"/>
    </row>
    <row r="55" spans="1:145" s="972" customFormat="1" ht="26.25" customHeight="1">
      <c r="A55" s="1057" t="s">
        <v>54</v>
      </c>
      <c r="B55" s="1057"/>
      <c r="C55" s="656"/>
      <c r="D55" s="1156"/>
      <c r="E55" s="1050"/>
      <c r="F55" s="1167"/>
      <c r="G55" s="1051">
        <f>G21+G44+G51</f>
        <v>16510400.101944285</v>
      </c>
      <c r="H55" s="1141">
        <v>18921657.134999998</v>
      </c>
      <c r="I55" s="1051"/>
      <c r="J55" s="1141"/>
      <c r="K55" s="1326">
        <f>K21+K44+K51</f>
        <v>53456899.50904515</v>
      </c>
      <c r="L55" s="1327">
        <v>41630530.12888889</v>
      </c>
      <c r="M55" s="1326" t="e">
        <f>M21+M44+M51+#REF!</f>
        <v>#REF!</v>
      </c>
      <c r="N55" s="1115"/>
      <c r="O55" s="1326">
        <f>O21+O44+O51</f>
        <v>16072972.321272224</v>
      </c>
      <c r="P55" s="1326">
        <f>P21+P44+P51</f>
        <v>329486529.1881146</v>
      </c>
      <c r="Q55" s="1326">
        <f>Q21+Q44+Q51</f>
        <v>281267612.22429794</v>
      </c>
      <c r="R55" s="1058"/>
      <c r="S55" s="1326" t="e">
        <f>S21+S44+S51+#REF!</f>
        <v>#REF!</v>
      </c>
      <c r="T55" s="1051" t="e">
        <f>T21+T44+T51+#REF!</f>
        <v>#REF!</v>
      </c>
      <c r="U55" s="1051" t="e">
        <f>U21+U44+U51+#REF!</f>
        <v>#REF!</v>
      </c>
      <c r="V55" s="1051" t="e">
        <f>V21+V44+V51+#REF!</f>
        <v>#REF!</v>
      </c>
      <c r="W55" s="1051" t="e">
        <f>W21+W44+W51+#REF!</f>
        <v>#REF!</v>
      </c>
      <c r="X55" s="1051" t="e">
        <f>X21+X44+X51+#REF!</f>
        <v>#REF!</v>
      </c>
      <c r="Y55" s="1051" t="e">
        <f>Y21+Y44+Y51+#REF!</f>
        <v>#REF!</v>
      </c>
      <c r="Z55" s="1051" t="e">
        <f>Z21+Z44+Z51+#REF!</f>
        <v>#REF!</v>
      </c>
      <c r="AA55" s="1051" t="e">
        <f>AA21+AA44+AA51+#REF!</f>
        <v>#REF!</v>
      </c>
      <c r="AB55" s="1051" t="e">
        <f>AB21+AB44+AB51+#REF!</f>
        <v>#REF!</v>
      </c>
      <c r="AC55" s="1051" t="e">
        <f>AC21+AC44+AC51+#REF!</f>
        <v>#REF!</v>
      </c>
      <c r="AD55" s="1051" t="e">
        <f>AD21+AD44+AD51+#REF!</f>
        <v>#REF!</v>
      </c>
      <c r="AE55" s="1051" t="e">
        <f>AE21+AE44+AE51+#REF!</f>
        <v>#REF!</v>
      </c>
      <c r="AF55" s="1051" t="e">
        <f>AF21+AF44+AF51+#REF!</f>
        <v>#REF!</v>
      </c>
      <c r="AG55" s="1051" t="e">
        <f>AG21+AG44+AG51+#REF!</f>
        <v>#REF!</v>
      </c>
      <c r="AH55" s="1051" t="e">
        <f>AH21+AH44+AH51+#REF!</f>
        <v>#REF!</v>
      </c>
      <c r="AJ55" s="1052"/>
      <c r="AK55" s="1052"/>
      <c r="AL55" s="1053"/>
      <c r="AM55" s="1220"/>
      <c r="AN55" s="1054"/>
      <c r="AQ55" s="1221"/>
      <c r="AR55" s="1053"/>
      <c r="AS55" s="1220"/>
      <c r="AT55" s="1053"/>
      <c r="AU55" s="1055"/>
      <c r="AY55" s="1056"/>
      <c r="AZ55" s="1056"/>
      <c r="BA55" s="1056"/>
      <c r="BB55" s="1056"/>
      <c r="BC55" s="1056"/>
      <c r="BD55" s="1056"/>
      <c r="BE55" s="1056"/>
      <c r="BF55" s="1056"/>
      <c r="BG55" s="1056"/>
      <c r="BH55" s="1056"/>
      <c r="BI55" s="1056"/>
      <c r="BJ55" s="1056"/>
      <c r="BK55" s="1056"/>
      <c r="BL55" s="1056"/>
      <c r="BM55" s="1056"/>
      <c r="BN55" s="1056"/>
      <c r="BO55" s="1056"/>
      <c r="BP55" s="1056"/>
      <c r="BQ55" s="1056"/>
      <c r="BR55" s="1056"/>
      <c r="BS55" s="1056"/>
      <c r="BT55" s="1056"/>
      <c r="BU55" s="1056"/>
      <c r="BV55" s="1056"/>
      <c r="BW55" s="1056"/>
      <c r="BX55" s="1056"/>
      <c r="BY55" s="1056"/>
      <c r="BZ55" s="1056"/>
      <c r="CA55" s="1056"/>
      <c r="CB55" s="1056"/>
      <c r="CC55" s="1056"/>
      <c r="CD55" s="1056"/>
      <c r="CE55" s="1056"/>
      <c r="CF55" s="1056"/>
      <c r="CG55" s="1056"/>
      <c r="CH55" s="1056"/>
      <c r="CI55" s="1056"/>
      <c r="CJ55" s="1056"/>
      <c r="CK55" s="1056"/>
      <c r="CL55" s="1056"/>
      <c r="CM55" s="1056"/>
      <c r="CN55" s="1056"/>
      <c r="CO55" s="1056"/>
      <c r="CP55" s="1056"/>
      <c r="CQ55" s="1056"/>
      <c r="CR55" s="1056"/>
      <c r="CS55" s="1056"/>
      <c r="CT55" s="1056"/>
      <c r="CU55" s="1056"/>
      <c r="CV55" s="1056"/>
      <c r="CW55" s="1056"/>
      <c r="CX55" s="1056"/>
      <c r="CY55" s="1056"/>
      <c r="CZ55" s="1056"/>
      <c r="DA55" s="1056"/>
      <c r="DB55" s="1056"/>
      <c r="DC55" s="1056"/>
      <c r="DD55" s="1056"/>
      <c r="DE55" s="1056"/>
      <c r="DF55" s="1056"/>
      <c r="DG55" s="1056"/>
      <c r="DH55" s="1056"/>
      <c r="DI55" s="1056"/>
      <c r="DJ55" s="1056"/>
      <c r="DK55" s="1056"/>
      <c r="DL55" s="1056"/>
      <c r="DM55" s="1056"/>
      <c r="DN55" s="1056"/>
      <c r="DO55" s="1056"/>
      <c r="DP55" s="1056"/>
      <c r="DQ55" s="1056"/>
      <c r="DR55" s="1056"/>
      <c r="DS55" s="1056"/>
      <c r="DT55" s="1056"/>
      <c r="DU55" s="1056"/>
      <c r="DV55" s="1056"/>
      <c r="DW55" s="1056"/>
      <c r="DX55" s="1056"/>
      <c r="DY55" s="1056"/>
      <c r="DZ55" s="1056"/>
      <c r="EA55" s="1056"/>
      <c r="EB55" s="1056"/>
      <c r="EC55" s="1056"/>
      <c r="ED55" s="1056"/>
      <c r="EE55" s="1056"/>
      <c r="EF55" s="1056"/>
      <c r="EG55" s="1056"/>
      <c r="EH55" s="1056"/>
      <c r="EI55" s="1056"/>
      <c r="EJ55" s="1056"/>
      <c r="EK55" s="1056"/>
      <c r="EL55" s="1056"/>
      <c r="EM55" s="1056"/>
      <c r="EN55" s="1056"/>
      <c r="EO55" s="1056"/>
    </row>
    <row r="56" spans="1:145" s="972" customFormat="1" ht="15.75" thickBot="1">
      <c r="A56" s="1028"/>
      <c r="B56" s="1028"/>
      <c r="C56" s="656"/>
      <c r="D56" s="1156"/>
      <c r="E56" s="1050"/>
      <c r="F56" s="1167"/>
      <c r="G56" s="1051"/>
      <c r="H56" s="1141"/>
      <c r="I56" s="1051"/>
      <c r="J56" s="1141"/>
      <c r="K56" s="1051"/>
      <c r="L56" s="1141"/>
      <c r="M56" s="1051"/>
      <c r="N56" s="1019"/>
      <c r="O56" s="1019"/>
      <c r="P56" s="1029"/>
      <c r="Q56" s="1029"/>
      <c r="R56" s="1041"/>
      <c r="S56" s="1029"/>
      <c r="T56" s="1029"/>
      <c r="U56" s="1029"/>
      <c r="V56" s="1029"/>
      <c r="W56" s="1029"/>
      <c r="X56" s="1009"/>
      <c r="Y56" s="1009"/>
      <c r="Z56" s="1009"/>
      <c r="AA56" s="1009"/>
      <c r="AB56" s="1009"/>
      <c r="AC56" s="1009"/>
      <c r="AD56" s="1009"/>
      <c r="AE56" s="1009"/>
      <c r="AF56" s="1009"/>
      <c r="AG56" s="1009"/>
      <c r="AH56" s="1009"/>
      <c r="AJ56" s="1052"/>
      <c r="AK56" s="1052"/>
      <c r="AL56" s="1053"/>
      <c r="AM56" s="1220"/>
      <c r="AN56" s="1054"/>
      <c r="AQ56" s="1221"/>
      <c r="AR56" s="1053"/>
      <c r="AS56" s="1220"/>
      <c r="AT56" s="1053"/>
      <c r="AU56" s="1055"/>
      <c r="AY56" s="1056"/>
      <c r="AZ56" s="1056"/>
      <c r="BA56" s="1056"/>
      <c r="BB56" s="1056"/>
      <c r="BC56" s="1056"/>
      <c r="BD56" s="1056"/>
      <c r="BE56" s="1056"/>
      <c r="BF56" s="1056"/>
      <c r="BG56" s="1056"/>
      <c r="BH56" s="1056"/>
      <c r="BI56" s="1056"/>
      <c r="BJ56" s="1056"/>
      <c r="BK56" s="1056"/>
      <c r="BL56" s="1056"/>
      <c r="BM56" s="1056"/>
      <c r="BN56" s="1056"/>
      <c r="BO56" s="1056"/>
      <c r="BP56" s="1056"/>
      <c r="BQ56" s="1056"/>
      <c r="BR56" s="1056"/>
      <c r="BS56" s="1056"/>
      <c r="BT56" s="1056"/>
      <c r="BU56" s="1056"/>
      <c r="BV56" s="1056"/>
      <c r="BW56" s="1056"/>
      <c r="BX56" s="1056"/>
      <c r="BY56" s="1056"/>
      <c r="BZ56" s="1056"/>
      <c r="CA56" s="1056"/>
      <c r="CB56" s="1056"/>
      <c r="CC56" s="1056"/>
      <c r="CD56" s="1056"/>
      <c r="CE56" s="1056"/>
      <c r="CF56" s="1056"/>
      <c r="CG56" s="1056"/>
      <c r="CH56" s="1056"/>
      <c r="CI56" s="1056"/>
      <c r="CJ56" s="1056"/>
      <c r="CK56" s="1056"/>
      <c r="CL56" s="1056"/>
      <c r="CM56" s="1056"/>
      <c r="CN56" s="1056"/>
      <c r="CO56" s="1056"/>
      <c r="CP56" s="1056"/>
      <c r="CQ56" s="1056"/>
      <c r="CR56" s="1056"/>
      <c r="CS56" s="1056"/>
      <c r="CT56" s="1056"/>
      <c r="CU56" s="1056"/>
      <c r="CV56" s="1056"/>
      <c r="CW56" s="1056"/>
      <c r="CX56" s="1056"/>
      <c r="CY56" s="1056"/>
      <c r="CZ56" s="1056"/>
      <c r="DA56" s="1056"/>
      <c r="DB56" s="1056"/>
      <c r="DC56" s="1056"/>
      <c r="DD56" s="1056"/>
      <c r="DE56" s="1056"/>
      <c r="DF56" s="1056"/>
      <c r="DG56" s="1056"/>
      <c r="DH56" s="1056"/>
      <c r="DI56" s="1056"/>
      <c r="DJ56" s="1056"/>
      <c r="DK56" s="1056"/>
      <c r="DL56" s="1056"/>
      <c r="DM56" s="1056"/>
      <c r="DN56" s="1056"/>
      <c r="DO56" s="1056"/>
      <c r="DP56" s="1056"/>
      <c r="DQ56" s="1056"/>
      <c r="DR56" s="1056"/>
      <c r="DS56" s="1056"/>
      <c r="DT56" s="1056"/>
      <c r="DU56" s="1056"/>
      <c r="DV56" s="1056"/>
      <c r="DW56" s="1056"/>
      <c r="DX56" s="1056"/>
      <c r="DY56" s="1056"/>
      <c r="DZ56" s="1056"/>
      <c r="EA56" s="1056"/>
      <c r="EB56" s="1056"/>
      <c r="EC56" s="1056"/>
      <c r="ED56" s="1056"/>
      <c r="EE56" s="1056"/>
      <c r="EF56" s="1056"/>
      <c r="EG56" s="1056"/>
      <c r="EH56" s="1056"/>
      <c r="EI56" s="1056"/>
      <c r="EJ56" s="1056"/>
      <c r="EK56" s="1056"/>
      <c r="EL56" s="1056"/>
      <c r="EM56" s="1056"/>
      <c r="EN56" s="1056"/>
      <c r="EO56" s="1056"/>
    </row>
    <row r="57" spans="1:145" s="1280" customFormat="1" ht="25.5" thickBot="1" thickTop="1">
      <c r="A57" s="976" t="s">
        <v>55</v>
      </c>
      <c r="B57" s="976"/>
      <c r="C57" s="977"/>
      <c r="D57" s="1149"/>
      <c r="E57" s="978"/>
      <c r="F57" s="1160"/>
      <c r="G57" s="979"/>
      <c r="H57" s="1133"/>
      <c r="I57" s="979"/>
      <c r="J57" s="1133"/>
      <c r="K57" s="979"/>
      <c r="L57" s="1133"/>
      <c r="M57" s="979"/>
      <c r="N57" s="980"/>
      <c r="O57" s="980"/>
      <c r="P57" s="983"/>
      <c r="Q57" s="983"/>
      <c r="R57" s="982"/>
      <c r="S57" s="983"/>
      <c r="T57" s="983"/>
      <c r="U57" s="983"/>
      <c r="V57" s="983"/>
      <c r="W57" s="983"/>
      <c r="X57" s="984"/>
      <c r="Y57" s="984"/>
      <c r="Z57" s="984"/>
      <c r="AA57" s="984"/>
      <c r="AB57" s="984"/>
      <c r="AC57" s="984"/>
      <c r="AD57" s="984"/>
      <c r="AE57" s="984"/>
      <c r="AF57" s="984"/>
      <c r="AG57" s="984"/>
      <c r="AH57" s="984"/>
      <c r="AJ57" s="1281"/>
      <c r="AK57" s="1281"/>
      <c r="AL57" s="1282"/>
      <c r="AM57" s="1283"/>
      <c r="AN57" s="1284"/>
      <c r="AQ57" s="1285"/>
      <c r="AR57" s="1282"/>
      <c r="AS57" s="1283"/>
      <c r="AT57" s="1282"/>
      <c r="AU57" s="1286"/>
      <c r="AY57" s="1279"/>
      <c r="AZ57" s="1279"/>
      <c r="BA57" s="1279"/>
      <c r="BB57" s="1279"/>
      <c r="BC57" s="1279"/>
      <c r="BD57" s="1279"/>
      <c r="BE57" s="1279"/>
      <c r="BF57" s="1279"/>
      <c r="BG57" s="1279"/>
      <c r="BH57" s="1279"/>
      <c r="BI57" s="1279"/>
      <c r="BJ57" s="1279"/>
      <c r="BK57" s="1279"/>
      <c r="BL57" s="1279"/>
      <c r="BM57" s="1279"/>
      <c r="BN57" s="1279"/>
      <c r="BO57" s="1279"/>
      <c r="BP57" s="1279"/>
      <c r="BQ57" s="1279"/>
      <c r="BR57" s="1279"/>
      <c r="BS57" s="1279"/>
      <c r="BT57" s="1279"/>
      <c r="BU57" s="1279"/>
      <c r="BV57" s="1279"/>
      <c r="BW57" s="1279"/>
      <c r="BX57" s="1279"/>
      <c r="BY57" s="1279"/>
      <c r="BZ57" s="1279"/>
      <c r="CA57" s="1279"/>
      <c r="CB57" s="1279"/>
      <c r="CC57" s="1279"/>
      <c r="CD57" s="1279"/>
      <c r="CE57" s="1279"/>
      <c r="CF57" s="1279"/>
      <c r="CG57" s="1279"/>
      <c r="CH57" s="1279"/>
      <c r="CI57" s="1279"/>
      <c r="CJ57" s="1279"/>
      <c r="CK57" s="1279"/>
      <c r="CL57" s="1279"/>
      <c r="CM57" s="1279"/>
      <c r="CN57" s="1279"/>
      <c r="CO57" s="1279"/>
      <c r="CP57" s="1279"/>
      <c r="CQ57" s="1279"/>
      <c r="CR57" s="1279"/>
      <c r="CS57" s="1279"/>
      <c r="CT57" s="1279"/>
      <c r="CU57" s="1279"/>
      <c r="CV57" s="1279"/>
      <c r="CW57" s="1279"/>
      <c r="CX57" s="1279"/>
      <c r="CY57" s="1279"/>
      <c r="CZ57" s="1279"/>
      <c r="DA57" s="1279"/>
      <c r="DB57" s="1279"/>
      <c r="DC57" s="1279"/>
      <c r="DD57" s="1279"/>
      <c r="DE57" s="1279"/>
      <c r="DF57" s="1279"/>
      <c r="DG57" s="1279"/>
      <c r="DH57" s="1279"/>
      <c r="DI57" s="1279"/>
      <c r="DJ57" s="1279"/>
      <c r="DK57" s="1279"/>
      <c r="DL57" s="1279"/>
      <c r="DM57" s="1279"/>
      <c r="DN57" s="1279"/>
      <c r="DO57" s="1279"/>
      <c r="DP57" s="1279"/>
      <c r="DQ57" s="1279"/>
      <c r="DR57" s="1279"/>
      <c r="DS57" s="1279"/>
      <c r="DT57" s="1279"/>
      <c r="DU57" s="1279"/>
      <c r="DV57" s="1279"/>
      <c r="DW57" s="1279"/>
      <c r="DX57" s="1279"/>
      <c r="DY57" s="1279"/>
      <c r="DZ57" s="1279"/>
      <c r="EA57" s="1279"/>
      <c r="EB57" s="1279"/>
      <c r="EC57" s="1279"/>
      <c r="ED57" s="1279"/>
      <c r="EE57" s="1279"/>
      <c r="EF57" s="1279"/>
      <c r="EG57" s="1279"/>
      <c r="EH57" s="1279"/>
      <c r="EI57" s="1279"/>
      <c r="EJ57" s="1279"/>
      <c r="EK57" s="1279"/>
      <c r="EL57" s="1279"/>
      <c r="EM57" s="1279"/>
      <c r="EN57" s="1279"/>
      <c r="EO57" s="1279"/>
    </row>
    <row r="58" spans="1:47" s="1279" customFormat="1" ht="18" thickTop="1">
      <c r="A58" s="1059" t="s">
        <v>56</v>
      </c>
      <c r="B58" s="1059"/>
      <c r="C58" s="994"/>
      <c r="D58" s="1151"/>
      <c r="E58" s="995"/>
      <c r="F58" s="1162"/>
      <c r="G58" s="996"/>
      <c r="H58" s="1135"/>
      <c r="I58" s="996"/>
      <c r="J58" s="1135"/>
      <c r="K58" s="996"/>
      <c r="L58" s="1135"/>
      <c r="M58" s="996"/>
      <c r="N58" s="997"/>
      <c r="O58" s="997"/>
      <c r="P58" s="998"/>
      <c r="Q58" s="998"/>
      <c r="R58" s="999"/>
      <c r="S58" s="998"/>
      <c r="T58" s="998"/>
      <c r="U58" s="998"/>
      <c r="V58" s="998"/>
      <c r="W58" s="998"/>
      <c r="X58" s="1000"/>
      <c r="Y58" s="1000"/>
      <c r="Z58" s="1000"/>
      <c r="AA58" s="1000"/>
      <c r="AB58" s="1000"/>
      <c r="AC58" s="1000"/>
      <c r="AD58" s="1000"/>
      <c r="AE58" s="1000"/>
      <c r="AF58" s="1000"/>
      <c r="AG58" s="1000"/>
      <c r="AH58" s="1000"/>
      <c r="AJ58" s="1294"/>
      <c r="AK58" s="1294"/>
      <c r="AL58" s="1295"/>
      <c r="AM58" s="1296"/>
      <c r="AN58" s="1297"/>
      <c r="AQ58" s="1298"/>
      <c r="AR58" s="1295"/>
      <c r="AS58" s="1296"/>
      <c r="AT58" s="1295"/>
      <c r="AU58" s="1299"/>
    </row>
    <row r="59" spans="1:145" s="1287" customFormat="1" ht="15">
      <c r="A59" s="985" t="s">
        <v>930</v>
      </c>
      <c r="B59" s="985"/>
      <c r="C59" s="986"/>
      <c r="D59" s="1150"/>
      <c r="E59" s="987"/>
      <c r="F59" s="1161"/>
      <c r="G59" s="988"/>
      <c r="H59" s="1134"/>
      <c r="I59" s="988"/>
      <c r="J59" s="1134"/>
      <c r="K59" s="988"/>
      <c r="L59" s="1134"/>
      <c r="M59" s="988"/>
      <c r="N59" s="989"/>
      <c r="O59" s="989"/>
      <c r="P59" s="990"/>
      <c r="Q59" s="990"/>
      <c r="R59" s="991"/>
      <c r="S59" s="990"/>
      <c r="T59" s="990"/>
      <c r="U59" s="990"/>
      <c r="V59" s="990"/>
      <c r="W59" s="990"/>
      <c r="X59" s="992"/>
      <c r="Y59" s="992"/>
      <c r="Z59" s="992"/>
      <c r="AA59" s="992"/>
      <c r="AB59" s="992"/>
      <c r="AC59" s="992"/>
      <c r="AD59" s="992"/>
      <c r="AE59" s="992"/>
      <c r="AF59" s="992"/>
      <c r="AG59" s="992"/>
      <c r="AH59" s="992"/>
      <c r="AJ59" s="1288"/>
      <c r="AK59" s="1288"/>
      <c r="AL59" s="1289"/>
      <c r="AM59" s="1290"/>
      <c r="AN59" s="1291"/>
      <c r="AQ59" s="1292"/>
      <c r="AR59" s="1289"/>
      <c r="AS59" s="1290"/>
      <c r="AT59" s="1289"/>
      <c r="AU59" s="1293"/>
      <c r="AY59" s="1279"/>
      <c r="AZ59" s="1279"/>
      <c r="BA59" s="1279"/>
      <c r="BB59" s="1279"/>
      <c r="BC59" s="1279"/>
      <c r="BD59" s="1279"/>
      <c r="BE59" s="1279"/>
      <c r="BF59" s="1279"/>
      <c r="BG59" s="1279"/>
      <c r="BH59" s="1279"/>
      <c r="BI59" s="1279"/>
      <c r="BJ59" s="1279"/>
      <c r="BK59" s="1279"/>
      <c r="BL59" s="1279"/>
      <c r="BM59" s="1279"/>
      <c r="BN59" s="1279"/>
      <c r="BO59" s="1279"/>
      <c r="BP59" s="1279"/>
      <c r="BQ59" s="1279"/>
      <c r="BR59" s="1279"/>
      <c r="BS59" s="1279"/>
      <c r="BT59" s="1279"/>
      <c r="BU59" s="1279"/>
      <c r="BV59" s="1279"/>
      <c r="BW59" s="1279"/>
      <c r="BX59" s="1279"/>
      <c r="BY59" s="1279"/>
      <c r="BZ59" s="1279"/>
      <c r="CA59" s="1279"/>
      <c r="CB59" s="1279"/>
      <c r="CC59" s="1279"/>
      <c r="CD59" s="1279"/>
      <c r="CE59" s="1279"/>
      <c r="CF59" s="1279"/>
      <c r="CG59" s="1279"/>
      <c r="CH59" s="1279"/>
      <c r="CI59" s="1279"/>
      <c r="CJ59" s="1279"/>
      <c r="CK59" s="1279"/>
      <c r="CL59" s="1279"/>
      <c r="CM59" s="1279"/>
      <c r="CN59" s="1279"/>
      <c r="CO59" s="1279"/>
      <c r="CP59" s="1279"/>
      <c r="CQ59" s="1279"/>
      <c r="CR59" s="1279"/>
      <c r="CS59" s="1279"/>
      <c r="CT59" s="1279"/>
      <c r="CU59" s="1279"/>
      <c r="CV59" s="1279"/>
      <c r="CW59" s="1279"/>
      <c r="CX59" s="1279"/>
      <c r="CY59" s="1279"/>
      <c r="CZ59" s="1279"/>
      <c r="DA59" s="1279"/>
      <c r="DB59" s="1279"/>
      <c r="DC59" s="1279"/>
      <c r="DD59" s="1279"/>
      <c r="DE59" s="1279"/>
      <c r="DF59" s="1279"/>
      <c r="DG59" s="1279"/>
      <c r="DH59" s="1279"/>
      <c r="DI59" s="1279"/>
      <c r="DJ59" s="1279"/>
      <c r="DK59" s="1279"/>
      <c r="DL59" s="1279"/>
      <c r="DM59" s="1279"/>
      <c r="DN59" s="1279"/>
      <c r="DO59" s="1279"/>
      <c r="DP59" s="1279"/>
      <c r="DQ59" s="1279"/>
      <c r="DR59" s="1279"/>
      <c r="DS59" s="1279"/>
      <c r="DT59" s="1279"/>
      <c r="DU59" s="1279"/>
      <c r="DV59" s="1279"/>
      <c r="DW59" s="1279"/>
      <c r="DX59" s="1279"/>
      <c r="DY59" s="1279"/>
      <c r="DZ59" s="1279"/>
      <c r="EA59" s="1279"/>
      <c r="EB59" s="1279"/>
      <c r="EC59" s="1279"/>
      <c r="ED59" s="1279"/>
      <c r="EE59" s="1279"/>
      <c r="EF59" s="1279"/>
      <c r="EG59" s="1279"/>
      <c r="EH59" s="1279"/>
      <c r="EI59" s="1279"/>
      <c r="EJ59" s="1279"/>
      <c r="EK59" s="1279"/>
      <c r="EL59" s="1279"/>
      <c r="EM59" s="1279"/>
      <c r="EN59" s="1279"/>
      <c r="EO59" s="1279"/>
    </row>
    <row r="60" spans="1:145" ht="15">
      <c r="A60" s="1011" t="s">
        <v>57</v>
      </c>
      <c r="B60" s="1028">
        <v>117</v>
      </c>
      <c r="C60" s="645">
        <f>'Line Item Descriptions'!F60</f>
        <v>962.90625</v>
      </c>
      <c r="D60" s="1218">
        <v>1204</v>
      </c>
      <c r="E60" s="1001">
        <f>(Number_of_Districts*3)+(Number_of_Schools/5)</f>
        <v>771.4</v>
      </c>
      <c r="F60" s="1219">
        <v>799</v>
      </c>
      <c r="G60" s="1003">
        <f>(Hardware!B22*E60)/N60</f>
        <v>26590.19657</v>
      </c>
      <c r="H60" s="1138">
        <v>61523</v>
      </c>
      <c r="I60" s="1003">
        <f>K60/E60</f>
        <v>160.484375</v>
      </c>
      <c r="J60" s="1138">
        <v>200.66666666666666</v>
      </c>
      <c r="K60" s="1002">
        <f>P60/BudgetYears</f>
        <v>123797.64687499999</v>
      </c>
      <c r="L60" s="1136">
        <v>160332.66666666666</v>
      </c>
      <c r="M60" s="1002">
        <f>'TAR Numbers'!AZ10+'TAR Numbers'!BA10</f>
        <v>2882320.6870000004</v>
      </c>
      <c r="N60" s="1014">
        <v>5</v>
      </c>
      <c r="O60" s="1015">
        <v>0</v>
      </c>
      <c r="P60" s="1370">
        <f>(C60*E60)</f>
        <v>742785.88125</v>
      </c>
      <c r="Q60" s="1006">
        <f>(P60)-(O60*3)</f>
        <v>742785.88125</v>
      </c>
      <c r="R60" s="1007" t="s">
        <v>18</v>
      </c>
      <c r="S60" s="1006">
        <f>IF($R60="S/L or L",$P60,0)</f>
        <v>742785.88125</v>
      </c>
      <c r="T60" s="1006">
        <f>IF($R60="L",$P60,0)</f>
        <v>0</v>
      </c>
      <c r="U60" s="1006">
        <f>IF($R60="S",$P60,0)</f>
        <v>0</v>
      </c>
      <c r="V60" s="1006">
        <f>IF($R60="F",$P60,0)</f>
        <v>0</v>
      </c>
      <c r="W60" s="1006">
        <f>SUM(S60:V60)</f>
        <v>742785.88125</v>
      </c>
      <c r="X60" s="1008" t="s">
        <v>25</v>
      </c>
      <c r="Y60" s="1006">
        <f>IF($R60="S/L or L",$K60,0)</f>
        <v>123797.64687499999</v>
      </c>
      <c r="Z60" s="1006">
        <f>IF($R60="L",$K60,0)</f>
        <v>0</v>
      </c>
      <c r="AA60" s="1006">
        <f>IF($R60="S",$K60,0)</f>
        <v>0</v>
      </c>
      <c r="AB60" s="1006">
        <f>IF($R60="F",$K60,0)</f>
        <v>0</v>
      </c>
      <c r="AC60" s="1009">
        <f>SUM(Y60:AB60)</f>
        <v>123797.64687499999</v>
      </c>
      <c r="AD60" s="1006">
        <f>IF($R60="S/L or L",$O60,0)</f>
        <v>0</v>
      </c>
      <c r="AE60" s="1006">
        <f>IF($R60="L",$O60,0)</f>
        <v>0</v>
      </c>
      <c r="AF60" s="1006">
        <f>IF($R60="S",$O60,0)</f>
        <v>0</v>
      </c>
      <c r="AG60" s="1006">
        <f>IF($R60="F",$O60,0)</f>
        <v>0</v>
      </c>
      <c r="AH60" s="1009">
        <f>SUM(AD60:AG60)</f>
        <v>0</v>
      </c>
      <c r="AM60" s="1301"/>
      <c r="AQ60" s="1303"/>
      <c r="AS60" s="1301"/>
      <c r="AY60" s="1279"/>
      <c r="AZ60" s="1279"/>
      <c r="BA60" s="1279"/>
      <c r="BB60" s="1279"/>
      <c r="BC60" s="1279"/>
      <c r="BD60" s="1279"/>
      <c r="BE60" s="1279"/>
      <c r="BF60" s="1279"/>
      <c r="BG60" s="1279"/>
      <c r="BH60" s="1279"/>
      <c r="BI60" s="1279"/>
      <c r="BJ60" s="1279"/>
      <c r="BK60" s="1279"/>
      <c r="BL60" s="1279"/>
      <c r="BM60" s="1279"/>
      <c r="BN60" s="1279"/>
      <c r="BO60" s="1279"/>
      <c r="BP60" s="1279"/>
      <c r="BQ60" s="1279"/>
      <c r="BR60" s="1279"/>
      <c r="BS60" s="1279"/>
      <c r="BT60" s="1279"/>
      <c r="BU60" s="1279"/>
      <c r="BV60" s="1279"/>
      <c r="BW60" s="1279"/>
      <c r="BX60" s="1279"/>
      <c r="BY60" s="1279"/>
      <c r="BZ60" s="1279"/>
      <c r="CA60" s="1279"/>
      <c r="CB60" s="1279"/>
      <c r="CC60" s="1279"/>
      <c r="CD60" s="1279"/>
      <c r="CE60" s="1279"/>
      <c r="CF60" s="1279"/>
      <c r="CG60" s="1279"/>
      <c r="CH60" s="1279"/>
      <c r="CI60" s="1279"/>
      <c r="CJ60" s="1279"/>
      <c r="CK60" s="1279"/>
      <c r="CL60" s="1279"/>
      <c r="CM60" s="1279"/>
      <c r="CN60" s="1279"/>
      <c r="CO60" s="1279"/>
      <c r="CP60" s="1279"/>
      <c r="CQ60" s="1279"/>
      <c r="CR60" s="1279"/>
      <c r="CS60" s="1279"/>
      <c r="CT60" s="1279"/>
      <c r="CU60" s="1279"/>
      <c r="CV60" s="1279"/>
      <c r="CW60" s="1279"/>
      <c r="CX60" s="1279"/>
      <c r="CY60" s="1279"/>
      <c r="CZ60" s="1279"/>
      <c r="DA60" s="1279"/>
      <c r="DB60" s="1279"/>
      <c r="DC60" s="1279"/>
      <c r="DD60" s="1279"/>
      <c r="DE60" s="1279"/>
      <c r="DF60" s="1279"/>
      <c r="DG60" s="1279"/>
      <c r="DH60" s="1279"/>
      <c r="DI60" s="1279"/>
      <c r="DJ60" s="1279"/>
      <c r="DK60" s="1279"/>
      <c r="DL60" s="1279"/>
      <c r="DM60" s="1279"/>
      <c r="DN60" s="1279"/>
      <c r="DO60" s="1279"/>
      <c r="DP60" s="1279"/>
      <c r="DQ60" s="1279"/>
      <c r="DR60" s="1279"/>
      <c r="DS60" s="1279"/>
      <c r="DT60" s="1279"/>
      <c r="DU60" s="1279"/>
      <c r="DV60" s="1279"/>
      <c r="DW60" s="1279"/>
      <c r="DX60" s="1279"/>
      <c r="DY60" s="1279"/>
      <c r="DZ60" s="1279"/>
      <c r="EA60" s="1279"/>
      <c r="EB60" s="1279"/>
      <c r="EC60" s="1279"/>
      <c r="ED60" s="1279"/>
      <c r="EE60" s="1279"/>
      <c r="EF60" s="1279"/>
      <c r="EG60" s="1279"/>
      <c r="EH60" s="1279"/>
      <c r="EI60" s="1279"/>
      <c r="EJ60" s="1279"/>
      <c r="EK60" s="1279"/>
      <c r="EL60" s="1279"/>
      <c r="EM60" s="1279"/>
      <c r="EN60" s="1279"/>
      <c r="EO60" s="1279"/>
    </row>
    <row r="61" spans="1:145" s="1010" customFormat="1" ht="15">
      <c r="A61" s="1011"/>
      <c r="B61" s="1028"/>
      <c r="C61" s="645"/>
      <c r="D61" s="1218"/>
      <c r="E61" s="1001"/>
      <c r="F61" s="1219"/>
      <c r="G61" s="1003"/>
      <c r="H61" s="1138"/>
      <c r="I61" s="1003"/>
      <c r="J61" s="1138"/>
      <c r="K61" s="1002"/>
      <c r="L61" s="1136"/>
      <c r="M61" s="1002"/>
      <c r="N61" s="1014"/>
      <c r="O61" s="1015"/>
      <c r="P61" s="1006"/>
      <c r="Q61" s="1006"/>
      <c r="R61" s="1007"/>
      <c r="S61" s="1006"/>
      <c r="T61" s="1006"/>
      <c r="U61" s="1006"/>
      <c r="V61" s="1006"/>
      <c r="W61" s="1006"/>
      <c r="X61" s="1008"/>
      <c r="Y61" s="1006"/>
      <c r="Z61" s="1006"/>
      <c r="AA61" s="1006"/>
      <c r="AB61" s="1006"/>
      <c r="AC61" s="1009"/>
      <c r="AD61" s="1006"/>
      <c r="AE61" s="1006"/>
      <c r="AF61" s="1006"/>
      <c r="AG61" s="1006"/>
      <c r="AH61" s="1009"/>
      <c r="AJ61" s="1011" t="s">
        <v>680</v>
      </c>
      <c r="AK61" s="1011">
        <v>117</v>
      </c>
      <c r="AL61" s="863">
        <f>C60</f>
        <v>962.90625</v>
      </c>
      <c r="AM61" s="1177">
        <v>1204</v>
      </c>
      <c r="AN61" s="1012">
        <f>1898-799</f>
        <v>1099</v>
      </c>
      <c r="AQ61" s="1209">
        <v>1099</v>
      </c>
      <c r="AR61" s="863">
        <f>SUM(AL61/AU61)*AN61</f>
        <v>211646.79375</v>
      </c>
      <c r="AS61" s="1177">
        <v>220532.66666666666</v>
      </c>
      <c r="AT61" s="863"/>
      <c r="AU61" s="1007">
        <v>5</v>
      </c>
      <c r="AY61" s="994"/>
      <c r="AZ61" s="994"/>
      <c r="BA61" s="994"/>
      <c r="BB61" s="994"/>
      <c r="BC61" s="994"/>
      <c r="BD61" s="994"/>
      <c r="BE61" s="994"/>
      <c r="BF61" s="994"/>
      <c r="BG61" s="994"/>
      <c r="BH61" s="994"/>
      <c r="BI61" s="994"/>
      <c r="BJ61" s="994"/>
      <c r="BK61" s="994"/>
      <c r="BL61" s="994"/>
      <c r="BM61" s="994"/>
      <c r="BN61" s="994"/>
      <c r="BO61" s="994"/>
      <c r="BP61" s="994"/>
      <c r="BQ61" s="994"/>
      <c r="BR61" s="994"/>
      <c r="BS61" s="994"/>
      <c r="BT61" s="994"/>
      <c r="BU61" s="994"/>
      <c r="BV61" s="994"/>
      <c r="BW61" s="994"/>
      <c r="BX61" s="994"/>
      <c r="BY61" s="994"/>
      <c r="BZ61" s="994"/>
      <c r="CA61" s="994"/>
      <c r="CB61" s="994"/>
      <c r="CC61" s="994"/>
      <c r="CD61" s="994"/>
      <c r="CE61" s="994"/>
      <c r="CF61" s="994"/>
      <c r="CG61" s="994"/>
      <c r="CH61" s="994"/>
      <c r="CI61" s="994"/>
      <c r="CJ61" s="994"/>
      <c r="CK61" s="994"/>
      <c r="CL61" s="994"/>
      <c r="CM61" s="994"/>
      <c r="CN61" s="994"/>
      <c r="CO61" s="994"/>
      <c r="CP61" s="994"/>
      <c r="CQ61" s="994"/>
      <c r="CR61" s="994"/>
      <c r="CS61" s="994"/>
      <c r="CT61" s="994"/>
      <c r="CU61" s="994"/>
      <c r="CV61" s="994"/>
      <c r="CW61" s="994"/>
      <c r="CX61" s="994"/>
      <c r="CY61" s="994"/>
      <c r="CZ61" s="994"/>
      <c r="DA61" s="994"/>
      <c r="DB61" s="994"/>
      <c r="DC61" s="994"/>
      <c r="DD61" s="994"/>
      <c r="DE61" s="994"/>
      <c r="DF61" s="994"/>
      <c r="DG61" s="994"/>
      <c r="DH61" s="994"/>
      <c r="DI61" s="994"/>
      <c r="DJ61" s="994"/>
      <c r="DK61" s="994"/>
      <c r="DL61" s="994"/>
      <c r="DM61" s="994"/>
      <c r="DN61" s="994"/>
      <c r="DO61" s="994"/>
      <c r="DP61" s="994"/>
      <c r="DQ61" s="994"/>
      <c r="DR61" s="994"/>
      <c r="DS61" s="994"/>
      <c r="DT61" s="994"/>
      <c r="DU61" s="994"/>
      <c r="DV61" s="994"/>
      <c r="DW61" s="994"/>
      <c r="DX61" s="994"/>
      <c r="DY61" s="994"/>
      <c r="DZ61" s="994"/>
      <c r="EA61" s="994"/>
      <c r="EB61" s="994"/>
      <c r="EC61" s="994"/>
      <c r="ED61" s="994"/>
      <c r="EE61" s="994"/>
      <c r="EF61" s="994"/>
      <c r="EG61" s="994"/>
      <c r="EH61" s="994"/>
      <c r="EI61" s="994"/>
      <c r="EJ61" s="994"/>
      <c r="EK61" s="994"/>
      <c r="EL61" s="994"/>
      <c r="EM61" s="994"/>
      <c r="EN61" s="994"/>
      <c r="EO61" s="994"/>
    </row>
    <row r="62" spans="1:145" ht="15">
      <c r="A62" s="1011" t="s">
        <v>58</v>
      </c>
      <c r="B62" s="1028">
        <v>38</v>
      </c>
      <c r="C62" s="645">
        <f>'Line Item Descriptions'!F62</f>
        <v>386.565</v>
      </c>
      <c r="D62" s="1218">
        <v>892</v>
      </c>
      <c r="E62" s="1001">
        <f>'Reference Data'!$B$2</f>
        <v>174</v>
      </c>
      <c r="F62" s="1219">
        <v>175</v>
      </c>
      <c r="G62" s="1003">
        <f>(Hardware!B42*E62)/N62</f>
        <v>2049.3720000000003</v>
      </c>
      <c r="H62" s="1138">
        <v>23450</v>
      </c>
      <c r="I62" s="1003">
        <f>K62/E62</f>
        <v>64.4275</v>
      </c>
      <c r="J62" s="1138">
        <v>148.66666666666669</v>
      </c>
      <c r="K62" s="1002">
        <f>P62/BudgetYears</f>
        <v>11210.385</v>
      </c>
      <c r="L62" s="1136">
        <v>26016.666666666668</v>
      </c>
      <c r="M62" s="1002">
        <f>-'TAR Numbers'!BB10+'TAR Numbers'!BC10</f>
        <v>389985.56499999994</v>
      </c>
      <c r="N62" s="1014">
        <v>5</v>
      </c>
      <c r="O62" s="1015">
        <v>0</v>
      </c>
      <c r="P62" s="1370">
        <f>(C62*E62)</f>
        <v>67262.31</v>
      </c>
      <c r="Q62" s="1006">
        <f>(P62)-(O62*3)</f>
        <v>67262.31</v>
      </c>
      <c r="R62" s="1007" t="s">
        <v>18</v>
      </c>
      <c r="S62" s="1006">
        <f>IF($R62="S/L or L",$P62,0)</f>
        <v>67262.31</v>
      </c>
      <c r="T62" s="1006">
        <f>IF($R62="L",$P62,0)</f>
        <v>0</v>
      </c>
      <c r="U62" s="1006">
        <f>IF($R62="S",$P62,0)</f>
        <v>0</v>
      </c>
      <c r="V62" s="1006">
        <f>IF($R62="F",$P62,0)</f>
        <v>0</v>
      </c>
      <c r="W62" s="1006">
        <f>SUM(S62:V62)</f>
        <v>67262.31</v>
      </c>
      <c r="X62" s="1008" t="s">
        <v>25</v>
      </c>
      <c r="Y62" s="1006">
        <f>IF($R62="S/L or L",$K62,0)</f>
        <v>11210.385</v>
      </c>
      <c r="Z62" s="1006">
        <f>IF($R62="L",$K62,0)</f>
        <v>0</v>
      </c>
      <c r="AA62" s="1006">
        <f>IF($R62="S",$K62,0)</f>
        <v>0</v>
      </c>
      <c r="AB62" s="1006">
        <f>IF($R62="F",$K62,0)</f>
        <v>0</v>
      </c>
      <c r="AC62" s="1009">
        <f>SUM(Y62:AB62)</f>
        <v>11210.385</v>
      </c>
      <c r="AD62" s="1006">
        <f>IF($R62="S/L or L",$O62,0)</f>
        <v>0</v>
      </c>
      <c r="AE62" s="1006">
        <f>IF($R62="L",$O62,0)</f>
        <v>0</v>
      </c>
      <c r="AF62" s="1006">
        <f>IF($R62="S",$O62,0)</f>
        <v>0</v>
      </c>
      <c r="AG62" s="1006">
        <f>IF($R62="F",$O62,0)</f>
        <v>0</v>
      </c>
      <c r="AH62" s="1009">
        <f>SUM(AD62:AG62)</f>
        <v>0</v>
      </c>
      <c r="AM62" s="1301"/>
      <c r="AQ62" s="1303"/>
      <c r="AS62" s="1301"/>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79"/>
      <c r="DF62" s="1279"/>
      <c r="DG62" s="1279"/>
      <c r="DH62" s="1279"/>
      <c r="DI62" s="1279"/>
      <c r="DJ62" s="1279"/>
      <c r="DK62" s="1279"/>
      <c r="DL62" s="1279"/>
      <c r="DM62" s="1279"/>
      <c r="DN62" s="1279"/>
      <c r="DO62" s="1279"/>
      <c r="DP62" s="1279"/>
      <c r="DQ62" s="1279"/>
      <c r="DR62" s="1279"/>
      <c r="DS62" s="1279"/>
      <c r="DT62" s="1279"/>
      <c r="DU62" s="1279"/>
      <c r="DV62" s="1279"/>
      <c r="DW62" s="1279"/>
      <c r="DX62" s="1279"/>
      <c r="DY62" s="1279"/>
      <c r="DZ62" s="1279"/>
      <c r="EA62" s="1279"/>
      <c r="EB62" s="1279"/>
      <c r="EC62" s="1279"/>
      <c r="ED62" s="1279"/>
      <c r="EE62" s="1279"/>
      <c r="EF62" s="1279"/>
      <c r="EG62" s="1279"/>
      <c r="EH62" s="1279"/>
      <c r="EI62" s="1279"/>
      <c r="EJ62" s="1279"/>
      <c r="EK62" s="1279"/>
      <c r="EL62" s="1279"/>
      <c r="EM62" s="1279"/>
      <c r="EN62" s="1279"/>
      <c r="EO62" s="1279"/>
    </row>
    <row r="63" spans="1:145" s="1010" customFormat="1" ht="15">
      <c r="A63" s="1011"/>
      <c r="B63" s="1028"/>
      <c r="C63" s="645"/>
      <c r="D63" s="1218"/>
      <c r="E63" s="1001"/>
      <c r="F63" s="1219"/>
      <c r="G63" s="1003"/>
      <c r="H63" s="1138"/>
      <c r="I63" s="1003"/>
      <c r="J63" s="1138"/>
      <c r="K63" s="1002"/>
      <c r="L63" s="1136"/>
      <c r="M63" s="1002"/>
      <c r="N63" s="1014"/>
      <c r="O63" s="1015"/>
      <c r="P63" s="1006"/>
      <c r="Q63" s="1006"/>
      <c r="R63" s="1007"/>
      <c r="S63" s="1006"/>
      <c r="T63" s="1006"/>
      <c r="U63" s="1006"/>
      <c r="V63" s="1006"/>
      <c r="W63" s="1006"/>
      <c r="X63" s="1008"/>
      <c r="Y63" s="1006"/>
      <c r="Z63" s="1006"/>
      <c r="AA63" s="1006"/>
      <c r="AB63" s="1006"/>
      <c r="AC63" s="1009"/>
      <c r="AD63" s="1006"/>
      <c r="AE63" s="1006"/>
      <c r="AF63" s="1006"/>
      <c r="AG63" s="1006"/>
      <c r="AH63" s="1009"/>
      <c r="AJ63" s="1011" t="s">
        <v>681</v>
      </c>
      <c r="AK63" s="1011">
        <v>38</v>
      </c>
      <c r="AL63" s="863">
        <f>C62</f>
        <v>386.565</v>
      </c>
      <c r="AM63" s="1177">
        <v>892</v>
      </c>
      <c r="AN63" s="1012">
        <f>SUM(624-E62)</f>
        <v>450</v>
      </c>
      <c r="AQ63" s="1209">
        <v>449</v>
      </c>
      <c r="AR63" s="863">
        <f>SUM(AL63/AU63)*AN63</f>
        <v>34790.85</v>
      </c>
      <c r="AS63" s="1177">
        <v>66751.33333333333</v>
      </c>
      <c r="AT63" s="863">
        <f>'TAR Numbers'!BD10+'TAR Numbers'!BE10</f>
        <v>55420.78000000001</v>
      </c>
      <c r="AU63" s="1007">
        <v>5</v>
      </c>
      <c r="AY63" s="994"/>
      <c r="AZ63" s="994"/>
      <c r="BA63" s="994"/>
      <c r="BB63" s="994"/>
      <c r="BC63" s="994"/>
      <c r="BD63" s="994"/>
      <c r="BE63" s="994"/>
      <c r="BF63" s="994"/>
      <c r="BG63" s="994"/>
      <c r="BH63" s="994"/>
      <c r="BI63" s="994"/>
      <c r="BJ63" s="994"/>
      <c r="BK63" s="994"/>
      <c r="BL63" s="994"/>
      <c r="BM63" s="994"/>
      <c r="BN63" s="994"/>
      <c r="BO63" s="994"/>
      <c r="BP63" s="994"/>
      <c r="BQ63" s="994"/>
      <c r="BR63" s="994"/>
      <c r="BS63" s="994"/>
      <c r="BT63" s="994"/>
      <c r="BU63" s="994"/>
      <c r="BV63" s="994"/>
      <c r="BW63" s="994"/>
      <c r="BX63" s="994"/>
      <c r="BY63" s="994"/>
      <c r="BZ63" s="994"/>
      <c r="CA63" s="994"/>
      <c r="CB63" s="994"/>
      <c r="CC63" s="994"/>
      <c r="CD63" s="994"/>
      <c r="CE63" s="994"/>
      <c r="CF63" s="994"/>
      <c r="CG63" s="994"/>
      <c r="CH63" s="994"/>
      <c r="CI63" s="994"/>
      <c r="CJ63" s="994"/>
      <c r="CK63" s="994"/>
      <c r="CL63" s="994"/>
      <c r="CM63" s="994"/>
      <c r="CN63" s="994"/>
      <c r="CO63" s="994"/>
      <c r="CP63" s="994"/>
      <c r="CQ63" s="994"/>
      <c r="CR63" s="994"/>
      <c r="CS63" s="994"/>
      <c r="CT63" s="994"/>
      <c r="CU63" s="994"/>
      <c r="CV63" s="994"/>
      <c r="CW63" s="994"/>
      <c r="CX63" s="994"/>
      <c r="CY63" s="994"/>
      <c r="CZ63" s="994"/>
      <c r="DA63" s="994"/>
      <c r="DB63" s="994"/>
      <c r="DC63" s="994"/>
      <c r="DD63" s="994"/>
      <c r="DE63" s="994"/>
      <c r="DF63" s="994"/>
      <c r="DG63" s="994"/>
      <c r="DH63" s="994"/>
      <c r="DI63" s="994"/>
      <c r="DJ63" s="994"/>
      <c r="DK63" s="994"/>
      <c r="DL63" s="994"/>
      <c r="DM63" s="994"/>
      <c r="DN63" s="994"/>
      <c r="DO63" s="994"/>
      <c r="DP63" s="994"/>
      <c r="DQ63" s="994"/>
      <c r="DR63" s="994"/>
      <c r="DS63" s="994"/>
      <c r="DT63" s="994"/>
      <c r="DU63" s="994"/>
      <c r="DV63" s="994"/>
      <c r="DW63" s="994"/>
      <c r="DX63" s="994"/>
      <c r="DY63" s="994"/>
      <c r="DZ63" s="994"/>
      <c r="EA63" s="994"/>
      <c r="EB63" s="994"/>
      <c r="EC63" s="994"/>
      <c r="ED63" s="994"/>
      <c r="EE63" s="994"/>
      <c r="EF63" s="994"/>
      <c r="EG63" s="994"/>
      <c r="EH63" s="994"/>
      <c r="EI63" s="994"/>
      <c r="EJ63" s="994"/>
      <c r="EK63" s="994"/>
      <c r="EL63" s="994"/>
      <c r="EM63" s="994"/>
      <c r="EN63" s="994"/>
      <c r="EO63" s="994"/>
    </row>
    <row r="64" spans="1:145" ht="15">
      <c r="A64" s="1011" t="s">
        <v>1316</v>
      </c>
      <c r="B64" s="1028">
        <v>76</v>
      </c>
      <c r="C64" s="645">
        <f>'Line Item Descriptions'!F65</f>
        <v>2402.3133333333335</v>
      </c>
      <c r="D64" s="1218">
        <v>4974</v>
      </c>
      <c r="E64" s="1001">
        <f>'Reference Data'!$B$2</f>
        <v>174</v>
      </c>
      <c r="F64" s="1219">
        <v>175</v>
      </c>
      <c r="G64" s="1003">
        <f>(Hardware!B52*E64)/N64</f>
        <v>12911.264</v>
      </c>
      <c r="H64" s="1138">
        <v>35525</v>
      </c>
      <c r="I64" s="1003">
        <f>K64/E64</f>
        <v>400.3855555555556</v>
      </c>
      <c r="J64" s="1138">
        <v>829</v>
      </c>
      <c r="K64" s="1002">
        <f>P64/BudgetYears</f>
        <v>69667.08666666667</v>
      </c>
      <c r="L64" s="1136">
        <v>145075</v>
      </c>
      <c r="M64" s="1002">
        <f>'TAR Numbers'!BH10+'TAR Numbers'!BI10</f>
        <v>312155.78</v>
      </c>
      <c r="N64" s="1014">
        <v>5</v>
      </c>
      <c r="O64" s="1015">
        <f>(USFInternal)*K64</f>
        <v>48766.960666666666</v>
      </c>
      <c r="P64" s="1370">
        <f>(C64*E64)</f>
        <v>418002.52</v>
      </c>
      <c r="Q64" s="1006">
        <f>(P64)-(O64*3)</f>
        <v>271701.63800000004</v>
      </c>
      <c r="R64" s="1007" t="s">
        <v>18</v>
      </c>
      <c r="S64" s="1006">
        <f>IF($R64="S/L or L",$P64,0)</f>
        <v>418002.52</v>
      </c>
      <c r="T64" s="1006">
        <f>IF($R64="L",$P64,0)</f>
        <v>0</v>
      </c>
      <c r="U64" s="1006">
        <f>IF($R64="S",$P64,0)</f>
        <v>0</v>
      </c>
      <c r="V64" s="1006">
        <f>IF($R64="F",$P64,0)</f>
        <v>0</v>
      </c>
      <c r="W64" s="1006">
        <f>SUM(S64:V64)</f>
        <v>418002.52</v>
      </c>
      <c r="X64" s="1008" t="s">
        <v>25</v>
      </c>
      <c r="Y64" s="1006">
        <f>IF($R64="S/L or L",$K64,0)</f>
        <v>69667.08666666667</v>
      </c>
      <c r="Z64" s="1006">
        <f>IF($R64="L",$K64,0)</f>
        <v>0</v>
      </c>
      <c r="AA64" s="1006">
        <f>IF($R64="S",$K64,0)</f>
        <v>0</v>
      </c>
      <c r="AB64" s="1006">
        <f>IF($R64="F",$K64,0)</f>
        <v>0</v>
      </c>
      <c r="AC64" s="1009">
        <f>SUM(Y64:AB64)</f>
        <v>69667.08666666667</v>
      </c>
      <c r="AD64" s="1006">
        <f>IF($R64="S/L or L",$O64,0)</f>
        <v>48766.960666666666</v>
      </c>
      <c r="AE64" s="1006">
        <f>IF($R64="L",$O64,0)</f>
        <v>0</v>
      </c>
      <c r="AF64" s="1006">
        <f>IF($R64="S",$O64,0)</f>
        <v>0</v>
      </c>
      <c r="AG64" s="1006">
        <f>IF($R64="F",$O64,0)</f>
        <v>0</v>
      </c>
      <c r="AH64" s="1009">
        <f>SUM(AD64:AG64)</f>
        <v>48766.960666666666</v>
      </c>
      <c r="AJ64" s="1011"/>
      <c r="AK64" s="1011"/>
      <c r="AL64" s="863"/>
      <c r="AM64" s="863"/>
      <c r="AN64" s="1012"/>
      <c r="AR64" s="863"/>
      <c r="AS64" s="863"/>
      <c r="AT64" s="863"/>
      <c r="AY64" s="1279"/>
      <c r="AZ64" s="1279"/>
      <c r="BA64" s="1279"/>
      <c r="BB64" s="1279"/>
      <c r="BC64" s="1279"/>
      <c r="BD64" s="1279"/>
      <c r="BE64" s="1279"/>
      <c r="BF64" s="1279"/>
      <c r="BG64" s="1279"/>
      <c r="BH64" s="1279"/>
      <c r="BI64" s="1279"/>
      <c r="BJ64" s="1279"/>
      <c r="BK64" s="1279"/>
      <c r="BL64" s="1279"/>
      <c r="BM64" s="1279"/>
      <c r="BN64" s="1279"/>
      <c r="BO64" s="1279"/>
      <c r="BP64" s="1279"/>
      <c r="BQ64" s="1279"/>
      <c r="BR64" s="1279"/>
      <c r="BS64" s="1279"/>
      <c r="BT64" s="1279"/>
      <c r="BU64" s="1279"/>
      <c r="BV64" s="1279"/>
      <c r="BW64" s="1279"/>
      <c r="BX64" s="1279"/>
      <c r="BY64" s="1279"/>
      <c r="BZ64" s="1279"/>
      <c r="CA64" s="1279"/>
      <c r="CB64" s="1279"/>
      <c r="CC64" s="1279"/>
      <c r="CD64" s="1279"/>
      <c r="CE64" s="1279"/>
      <c r="CF64" s="1279"/>
      <c r="CG64" s="1279"/>
      <c r="CH64" s="1279"/>
      <c r="CI64" s="1279"/>
      <c r="CJ64" s="1279"/>
      <c r="CK64" s="1279"/>
      <c r="CL64" s="1279"/>
      <c r="CM64" s="1279"/>
      <c r="CN64" s="1279"/>
      <c r="CO64" s="1279"/>
      <c r="CP64" s="1279"/>
      <c r="CQ64" s="1279"/>
      <c r="CR64" s="1279"/>
      <c r="CS64" s="1279"/>
      <c r="CT64" s="1279"/>
      <c r="CU64" s="1279"/>
      <c r="CV64" s="1279"/>
      <c r="CW64" s="1279"/>
      <c r="CX64" s="1279"/>
      <c r="CY64" s="1279"/>
      <c r="CZ64" s="1279"/>
      <c r="DA64" s="1279"/>
      <c r="DB64" s="1279"/>
      <c r="DC64" s="1279"/>
      <c r="DD64" s="1279"/>
      <c r="DE64" s="1279"/>
      <c r="DF64" s="1279"/>
      <c r="DG64" s="1279"/>
      <c r="DH64" s="1279"/>
      <c r="DI64" s="1279"/>
      <c r="DJ64" s="1279"/>
      <c r="DK64" s="1279"/>
      <c r="DL64" s="1279"/>
      <c r="DM64" s="1279"/>
      <c r="DN64" s="1279"/>
      <c r="DO64" s="1279"/>
      <c r="DP64" s="1279"/>
      <c r="DQ64" s="1279"/>
      <c r="DR64" s="1279"/>
      <c r="DS64" s="1279"/>
      <c r="DT64" s="1279"/>
      <c r="DU64" s="1279"/>
      <c r="DV64" s="1279"/>
      <c r="DW64" s="1279"/>
      <c r="DX64" s="1279"/>
      <c r="DY64" s="1279"/>
      <c r="DZ64" s="1279"/>
      <c r="EA64" s="1279"/>
      <c r="EB64" s="1279"/>
      <c r="EC64" s="1279"/>
      <c r="ED64" s="1279"/>
      <c r="EE64" s="1279"/>
      <c r="EF64" s="1279"/>
      <c r="EG64" s="1279"/>
      <c r="EH64" s="1279"/>
      <c r="EI64" s="1279"/>
      <c r="EJ64" s="1279"/>
      <c r="EK64" s="1279"/>
      <c r="EL64" s="1279"/>
      <c r="EM64" s="1279"/>
      <c r="EN64" s="1279"/>
      <c r="EO64" s="1279"/>
    </row>
    <row r="65" spans="1:145" s="1010" customFormat="1" ht="15">
      <c r="A65" s="1011"/>
      <c r="B65" s="1028"/>
      <c r="C65" s="645"/>
      <c r="D65" s="1218"/>
      <c r="E65" s="1001"/>
      <c r="F65" s="1219"/>
      <c r="G65" s="1003"/>
      <c r="H65" s="1138"/>
      <c r="I65" s="1003"/>
      <c r="J65" s="1138"/>
      <c r="K65" s="1002"/>
      <c r="L65" s="1136"/>
      <c r="M65" s="1002"/>
      <c r="N65" s="1014"/>
      <c r="O65" s="1015"/>
      <c r="P65" s="1006"/>
      <c r="Q65" s="1006"/>
      <c r="R65" s="1007"/>
      <c r="S65" s="1006"/>
      <c r="T65" s="1006"/>
      <c r="U65" s="1006"/>
      <c r="V65" s="1006"/>
      <c r="W65" s="1006"/>
      <c r="X65" s="1008"/>
      <c r="Y65" s="1006"/>
      <c r="Z65" s="1006"/>
      <c r="AA65" s="1006"/>
      <c r="AB65" s="1006"/>
      <c r="AC65" s="1009"/>
      <c r="AD65" s="1006"/>
      <c r="AE65" s="1006"/>
      <c r="AF65" s="1006"/>
      <c r="AG65" s="1006"/>
      <c r="AH65" s="1009"/>
      <c r="AJ65" s="1011"/>
      <c r="AK65" s="1011"/>
      <c r="AL65" s="863"/>
      <c r="AM65" s="863"/>
      <c r="AN65" s="1012"/>
      <c r="AQ65" s="1012"/>
      <c r="AR65" s="863"/>
      <c r="AS65" s="863"/>
      <c r="AT65" s="863"/>
      <c r="AU65" s="1007"/>
      <c r="AY65" s="994"/>
      <c r="AZ65" s="994"/>
      <c r="BA65" s="994"/>
      <c r="BB65" s="994"/>
      <c r="BC65" s="994"/>
      <c r="BD65" s="994"/>
      <c r="BE65" s="994"/>
      <c r="BF65" s="994"/>
      <c r="BG65" s="994"/>
      <c r="BH65" s="994"/>
      <c r="BI65" s="994"/>
      <c r="BJ65" s="994"/>
      <c r="BK65" s="994"/>
      <c r="BL65" s="994"/>
      <c r="BM65" s="994"/>
      <c r="BN65" s="994"/>
      <c r="BO65" s="994"/>
      <c r="BP65" s="994"/>
      <c r="BQ65" s="994"/>
      <c r="BR65" s="994"/>
      <c r="BS65" s="994"/>
      <c r="BT65" s="994"/>
      <c r="BU65" s="994"/>
      <c r="BV65" s="994"/>
      <c r="BW65" s="994"/>
      <c r="BX65" s="994"/>
      <c r="BY65" s="994"/>
      <c r="BZ65" s="994"/>
      <c r="CA65" s="994"/>
      <c r="CB65" s="994"/>
      <c r="CC65" s="994"/>
      <c r="CD65" s="994"/>
      <c r="CE65" s="994"/>
      <c r="CF65" s="994"/>
      <c r="CG65" s="994"/>
      <c r="CH65" s="994"/>
      <c r="CI65" s="994"/>
      <c r="CJ65" s="994"/>
      <c r="CK65" s="994"/>
      <c r="CL65" s="994"/>
      <c r="CM65" s="994"/>
      <c r="CN65" s="994"/>
      <c r="CO65" s="994"/>
      <c r="CP65" s="994"/>
      <c r="CQ65" s="994"/>
      <c r="CR65" s="994"/>
      <c r="CS65" s="994"/>
      <c r="CT65" s="994"/>
      <c r="CU65" s="994"/>
      <c r="CV65" s="994"/>
      <c r="CW65" s="994"/>
      <c r="CX65" s="994"/>
      <c r="CY65" s="994"/>
      <c r="CZ65" s="994"/>
      <c r="DA65" s="994"/>
      <c r="DB65" s="994"/>
      <c r="DC65" s="994"/>
      <c r="DD65" s="994"/>
      <c r="DE65" s="994"/>
      <c r="DF65" s="994"/>
      <c r="DG65" s="994"/>
      <c r="DH65" s="994"/>
      <c r="DI65" s="994"/>
      <c r="DJ65" s="994"/>
      <c r="DK65" s="994"/>
      <c r="DL65" s="994"/>
      <c r="DM65" s="994"/>
      <c r="DN65" s="994"/>
      <c r="DO65" s="994"/>
      <c r="DP65" s="994"/>
      <c r="DQ65" s="994"/>
      <c r="DR65" s="994"/>
      <c r="DS65" s="994"/>
      <c r="DT65" s="994"/>
      <c r="DU65" s="994"/>
      <c r="DV65" s="994"/>
      <c r="DW65" s="994"/>
      <c r="DX65" s="994"/>
      <c r="DY65" s="994"/>
      <c r="DZ65" s="994"/>
      <c r="EA65" s="994"/>
      <c r="EB65" s="994"/>
      <c r="EC65" s="994"/>
      <c r="ED65" s="994"/>
      <c r="EE65" s="994"/>
      <c r="EF65" s="994"/>
      <c r="EG65" s="994"/>
      <c r="EH65" s="994"/>
      <c r="EI65" s="994"/>
      <c r="EJ65" s="994"/>
      <c r="EK65" s="994"/>
      <c r="EL65" s="994"/>
      <c r="EM65" s="994"/>
      <c r="EN65" s="994"/>
      <c r="EO65" s="994"/>
    </row>
    <row r="66" spans="1:145" s="1010" customFormat="1" ht="15">
      <c r="A66" s="1011"/>
      <c r="B66" s="1028"/>
      <c r="C66" s="645"/>
      <c r="D66" s="1218"/>
      <c r="E66" s="1001"/>
      <c r="F66" s="1219"/>
      <c r="G66" s="1003"/>
      <c r="H66" s="1138"/>
      <c r="I66" s="1003"/>
      <c r="J66" s="1138"/>
      <c r="K66" s="1002"/>
      <c r="L66" s="1136"/>
      <c r="M66" s="1002"/>
      <c r="N66" s="1014"/>
      <c r="O66" s="1015"/>
      <c r="P66" s="1006"/>
      <c r="Q66" s="1006"/>
      <c r="R66" s="1007"/>
      <c r="S66" s="1006"/>
      <c r="T66" s="1006"/>
      <c r="U66" s="1006"/>
      <c r="V66" s="1006"/>
      <c r="W66" s="1006"/>
      <c r="X66" s="1008"/>
      <c r="Y66" s="1006"/>
      <c r="Z66" s="1006"/>
      <c r="AA66" s="1006"/>
      <c r="AB66" s="1006"/>
      <c r="AC66" s="1009"/>
      <c r="AD66" s="1006"/>
      <c r="AE66" s="1006"/>
      <c r="AF66" s="1006"/>
      <c r="AG66" s="1006"/>
      <c r="AH66" s="1009"/>
      <c r="AJ66" s="1011"/>
      <c r="AK66" s="1011"/>
      <c r="AL66" s="863"/>
      <c r="AM66" s="863"/>
      <c r="AN66" s="1012"/>
      <c r="AQ66" s="1012"/>
      <c r="AR66" s="863"/>
      <c r="AS66" s="863"/>
      <c r="AT66" s="863"/>
      <c r="AU66" s="1007"/>
      <c r="AY66" s="994"/>
      <c r="AZ66" s="994"/>
      <c r="BA66" s="994"/>
      <c r="BB66" s="994"/>
      <c r="BC66" s="994"/>
      <c r="BD66" s="994"/>
      <c r="BE66" s="994"/>
      <c r="BF66" s="994"/>
      <c r="BG66" s="994"/>
      <c r="BH66" s="994"/>
      <c r="BI66" s="994"/>
      <c r="BJ66" s="994"/>
      <c r="BK66" s="994"/>
      <c r="BL66" s="994"/>
      <c r="BM66" s="994"/>
      <c r="BN66" s="994"/>
      <c r="BO66" s="994"/>
      <c r="BP66" s="994"/>
      <c r="BQ66" s="994"/>
      <c r="BR66" s="994"/>
      <c r="BS66" s="994"/>
      <c r="BT66" s="994"/>
      <c r="BU66" s="994"/>
      <c r="BV66" s="994"/>
      <c r="BW66" s="994"/>
      <c r="BX66" s="994"/>
      <c r="BY66" s="994"/>
      <c r="BZ66" s="994"/>
      <c r="CA66" s="994"/>
      <c r="CB66" s="994"/>
      <c r="CC66" s="994"/>
      <c r="CD66" s="994"/>
      <c r="CE66" s="994"/>
      <c r="CF66" s="994"/>
      <c r="CG66" s="994"/>
      <c r="CH66" s="994"/>
      <c r="CI66" s="994"/>
      <c r="CJ66" s="994"/>
      <c r="CK66" s="994"/>
      <c r="CL66" s="994"/>
      <c r="CM66" s="994"/>
      <c r="CN66" s="994"/>
      <c r="CO66" s="994"/>
      <c r="CP66" s="994"/>
      <c r="CQ66" s="994"/>
      <c r="CR66" s="994"/>
      <c r="CS66" s="994"/>
      <c r="CT66" s="994"/>
      <c r="CU66" s="994"/>
      <c r="CV66" s="994"/>
      <c r="CW66" s="994"/>
      <c r="CX66" s="994"/>
      <c r="CY66" s="994"/>
      <c r="CZ66" s="994"/>
      <c r="DA66" s="994"/>
      <c r="DB66" s="994"/>
      <c r="DC66" s="994"/>
      <c r="DD66" s="994"/>
      <c r="DE66" s="994"/>
      <c r="DF66" s="994"/>
      <c r="DG66" s="994"/>
      <c r="DH66" s="994"/>
      <c r="DI66" s="994"/>
      <c r="DJ66" s="994"/>
      <c r="DK66" s="994"/>
      <c r="DL66" s="994"/>
      <c r="DM66" s="994"/>
      <c r="DN66" s="994"/>
      <c r="DO66" s="994"/>
      <c r="DP66" s="994"/>
      <c r="DQ66" s="994"/>
      <c r="DR66" s="994"/>
      <c r="DS66" s="994"/>
      <c r="DT66" s="994"/>
      <c r="DU66" s="994"/>
      <c r="DV66" s="994"/>
      <c r="DW66" s="994"/>
      <c r="DX66" s="994"/>
      <c r="DY66" s="994"/>
      <c r="DZ66" s="994"/>
      <c r="EA66" s="994"/>
      <c r="EB66" s="994"/>
      <c r="EC66" s="994"/>
      <c r="ED66" s="994"/>
      <c r="EE66" s="994"/>
      <c r="EF66" s="994"/>
      <c r="EG66" s="994"/>
      <c r="EH66" s="994"/>
      <c r="EI66" s="994"/>
      <c r="EJ66" s="994"/>
      <c r="EK66" s="994"/>
      <c r="EL66" s="994"/>
      <c r="EM66" s="994"/>
      <c r="EN66" s="994"/>
      <c r="EO66" s="994"/>
    </row>
    <row r="67" spans="1:145" s="1010" customFormat="1" ht="15">
      <c r="A67" s="1011"/>
      <c r="B67" s="1028"/>
      <c r="C67" s="645"/>
      <c r="D67" s="1218"/>
      <c r="E67" s="1001"/>
      <c r="F67" s="1219"/>
      <c r="G67" s="1003"/>
      <c r="H67" s="1138"/>
      <c r="I67" s="1003"/>
      <c r="J67" s="1138"/>
      <c r="K67" s="1002"/>
      <c r="L67" s="1136"/>
      <c r="M67" s="1002"/>
      <c r="N67" s="1014"/>
      <c r="O67" s="1015"/>
      <c r="P67" s="1006"/>
      <c r="Q67" s="1006"/>
      <c r="R67" s="1007"/>
      <c r="S67" s="1006"/>
      <c r="T67" s="1006"/>
      <c r="U67" s="1006"/>
      <c r="V67" s="1006"/>
      <c r="W67" s="1006"/>
      <c r="X67" s="1008"/>
      <c r="Y67" s="1006"/>
      <c r="Z67" s="1006"/>
      <c r="AA67" s="1006"/>
      <c r="AB67" s="1006"/>
      <c r="AC67" s="1009"/>
      <c r="AD67" s="1006"/>
      <c r="AE67" s="1006"/>
      <c r="AF67" s="1006"/>
      <c r="AG67" s="1006"/>
      <c r="AH67" s="1009"/>
      <c r="AJ67" s="1011"/>
      <c r="AK67" s="1011"/>
      <c r="AL67" s="863"/>
      <c r="AM67" s="863"/>
      <c r="AN67" s="1012"/>
      <c r="AQ67" s="1012"/>
      <c r="AR67" s="863"/>
      <c r="AS67" s="863"/>
      <c r="AT67" s="863"/>
      <c r="AU67" s="1007"/>
      <c r="AY67" s="994"/>
      <c r="AZ67" s="994"/>
      <c r="BA67" s="994"/>
      <c r="BB67" s="994"/>
      <c r="BC67" s="994"/>
      <c r="BD67" s="994"/>
      <c r="BE67" s="994"/>
      <c r="BF67" s="994"/>
      <c r="BG67" s="994"/>
      <c r="BH67" s="994"/>
      <c r="BI67" s="994"/>
      <c r="BJ67" s="994"/>
      <c r="BK67" s="994"/>
      <c r="BL67" s="994"/>
      <c r="BM67" s="994"/>
      <c r="BN67" s="994"/>
      <c r="BO67" s="994"/>
      <c r="BP67" s="994"/>
      <c r="BQ67" s="994"/>
      <c r="BR67" s="994"/>
      <c r="BS67" s="994"/>
      <c r="BT67" s="994"/>
      <c r="BU67" s="994"/>
      <c r="BV67" s="994"/>
      <c r="BW67" s="994"/>
      <c r="BX67" s="994"/>
      <c r="BY67" s="994"/>
      <c r="BZ67" s="994"/>
      <c r="CA67" s="994"/>
      <c r="CB67" s="994"/>
      <c r="CC67" s="994"/>
      <c r="CD67" s="994"/>
      <c r="CE67" s="994"/>
      <c r="CF67" s="994"/>
      <c r="CG67" s="994"/>
      <c r="CH67" s="994"/>
      <c r="CI67" s="994"/>
      <c r="CJ67" s="994"/>
      <c r="CK67" s="994"/>
      <c r="CL67" s="994"/>
      <c r="CM67" s="994"/>
      <c r="CN67" s="994"/>
      <c r="CO67" s="994"/>
      <c r="CP67" s="994"/>
      <c r="CQ67" s="994"/>
      <c r="CR67" s="994"/>
      <c r="CS67" s="994"/>
      <c r="CT67" s="994"/>
      <c r="CU67" s="994"/>
      <c r="CV67" s="994"/>
      <c r="CW67" s="994"/>
      <c r="CX67" s="994"/>
      <c r="CY67" s="994"/>
      <c r="CZ67" s="994"/>
      <c r="DA67" s="994"/>
      <c r="DB67" s="994"/>
      <c r="DC67" s="994"/>
      <c r="DD67" s="994"/>
      <c r="DE67" s="994"/>
      <c r="DF67" s="994"/>
      <c r="DG67" s="994"/>
      <c r="DH67" s="994"/>
      <c r="DI67" s="994"/>
      <c r="DJ67" s="994"/>
      <c r="DK67" s="994"/>
      <c r="DL67" s="994"/>
      <c r="DM67" s="994"/>
      <c r="DN67" s="994"/>
      <c r="DO67" s="994"/>
      <c r="DP67" s="994"/>
      <c r="DQ67" s="994"/>
      <c r="DR67" s="994"/>
      <c r="DS67" s="994"/>
      <c r="DT67" s="994"/>
      <c r="DU67" s="994"/>
      <c r="DV67" s="994"/>
      <c r="DW67" s="994"/>
      <c r="DX67" s="994"/>
      <c r="DY67" s="994"/>
      <c r="DZ67" s="994"/>
      <c r="EA67" s="994"/>
      <c r="EB67" s="994"/>
      <c r="EC67" s="994"/>
      <c r="ED67" s="994"/>
      <c r="EE67" s="994"/>
      <c r="EF67" s="994"/>
      <c r="EG67" s="994"/>
      <c r="EH67" s="994"/>
      <c r="EI67" s="994"/>
      <c r="EJ67" s="994"/>
      <c r="EK67" s="994"/>
      <c r="EL67" s="994"/>
      <c r="EM67" s="994"/>
      <c r="EN67" s="994"/>
      <c r="EO67" s="994"/>
    </row>
    <row r="68" spans="1:145" s="1010" customFormat="1" ht="15">
      <c r="A68" s="1011"/>
      <c r="B68" s="1028"/>
      <c r="C68" s="645"/>
      <c r="D68" s="1218"/>
      <c r="E68" s="1001"/>
      <c r="F68" s="1219"/>
      <c r="G68" s="1003"/>
      <c r="H68" s="1138"/>
      <c r="I68" s="1003"/>
      <c r="J68" s="1138"/>
      <c r="K68" s="1002"/>
      <c r="L68" s="1136"/>
      <c r="M68" s="1002"/>
      <c r="N68" s="1014"/>
      <c r="O68" s="1015"/>
      <c r="P68" s="1006"/>
      <c r="Q68" s="1006"/>
      <c r="R68" s="1007"/>
      <c r="S68" s="1006"/>
      <c r="T68" s="1006"/>
      <c r="U68" s="1006"/>
      <c r="V68" s="1006"/>
      <c r="W68" s="1006"/>
      <c r="X68" s="1008"/>
      <c r="Y68" s="1006"/>
      <c r="Z68" s="1006"/>
      <c r="AA68" s="1006"/>
      <c r="AB68" s="1006"/>
      <c r="AC68" s="1009"/>
      <c r="AD68" s="1006"/>
      <c r="AE68" s="1006"/>
      <c r="AF68" s="1006"/>
      <c r="AG68" s="1006"/>
      <c r="AH68" s="1009"/>
      <c r="AJ68" s="1253"/>
      <c r="AK68" s="1253"/>
      <c r="AL68" s="863"/>
      <c r="AM68" s="863"/>
      <c r="AN68" s="1012"/>
      <c r="AQ68" s="1012"/>
      <c r="AR68" s="863"/>
      <c r="AS68" s="863"/>
      <c r="AT68" s="863"/>
      <c r="AU68" s="1007"/>
      <c r="AY68" s="994"/>
      <c r="AZ68" s="994"/>
      <c r="BA68" s="994"/>
      <c r="BB68" s="994"/>
      <c r="BC68" s="994"/>
      <c r="BD68" s="994"/>
      <c r="BE68" s="994"/>
      <c r="BF68" s="994"/>
      <c r="BG68" s="994"/>
      <c r="BH68" s="994"/>
      <c r="BI68" s="994"/>
      <c r="BJ68" s="994"/>
      <c r="BK68" s="994"/>
      <c r="BL68" s="994"/>
      <c r="BM68" s="994"/>
      <c r="BN68" s="994"/>
      <c r="BO68" s="994"/>
      <c r="BP68" s="994"/>
      <c r="BQ68" s="994"/>
      <c r="BR68" s="994"/>
      <c r="BS68" s="994"/>
      <c r="BT68" s="994"/>
      <c r="BU68" s="994"/>
      <c r="BV68" s="994"/>
      <c r="BW68" s="994"/>
      <c r="BX68" s="994"/>
      <c r="BY68" s="994"/>
      <c r="BZ68" s="994"/>
      <c r="CA68" s="994"/>
      <c r="CB68" s="994"/>
      <c r="CC68" s="994"/>
      <c r="CD68" s="994"/>
      <c r="CE68" s="994"/>
      <c r="CF68" s="994"/>
      <c r="CG68" s="994"/>
      <c r="CH68" s="994"/>
      <c r="CI68" s="994"/>
      <c r="CJ68" s="994"/>
      <c r="CK68" s="994"/>
      <c r="CL68" s="994"/>
      <c r="CM68" s="994"/>
      <c r="CN68" s="994"/>
      <c r="CO68" s="994"/>
      <c r="CP68" s="994"/>
      <c r="CQ68" s="994"/>
      <c r="CR68" s="994"/>
      <c r="CS68" s="994"/>
      <c r="CT68" s="994"/>
      <c r="CU68" s="994"/>
      <c r="CV68" s="994"/>
      <c r="CW68" s="994"/>
      <c r="CX68" s="994"/>
      <c r="CY68" s="994"/>
      <c r="CZ68" s="994"/>
      <c r="DA68" s="994"/>
      <c r="DB68" s="994"/>
      <c r="DC68" s="994"/>
      <c r="DD68" s="994"/>
      <c r="DE68" s="994"/>
      <c r="DF68" s="994"/>
      <c r="DG68" s="994"/>
      <c r="DH68" s="994"/>
      <c r="DI68" s="994"/>
      <c r="DJ68" s="994"/>
      <c r="DK68" s="994"/>
      <c r="DL68" s="994"/>
      <c r="DM68" s="994"/>
      <c r="DN68" s="994"/>
      <c r="DO68" s="994"/>
      <c r="DP68" s="994"/>
      <c r="DQ68" s="994"/>
      <c r="DR68" s="994"/>
      <c r="DS68" s="994"/>
      <c r="DT68" s="994"/>
      <c r="DU68" s="994"/>
      <c r="DV68" s="994"/>
      <c r="DW68" s="994"/>
      <c r="DX68" s="994"/>
      <c r="DY68" s="994"/>
      <c r="DZ68" s="994"/>
      <c r="EA68" s="994"/>
      <c r="EB68" s="994"/>
      <c r="EC68" s="994"/>
      <c r="ED68" s="994"/>
      <c r="EE68" s="994"/>
      <c r="EF68" s="994"/>
      <c r="EG68" s="994"/>
      <c r="EH68" s="994"/>
      <c r="EI68" s="994"/>
      <c r="EJ68" s="994"/>
      <c r="EK68" s="994"/>
      <c r="EL68" s="994"/>
      <c r="EM68" s="994"/>
      <c r="EN68" s="994"/>
      <c r="EO68" s="994"/>
    </row>
    <row r="69" spans="1:145" s="1010" customFormat="1" ht="15">
      <c r="A69" s="1011"/>
      <c r="B69" s="1028"/>
      <c r="C69" s="645"/>
      <c r="D69" s="1218"/>
      <c r="E69" s="1001"/>
      <c r="F69" s="1219"/>
      <c r="G69" s="1003"/>
      <c r="H69" s="1138"/>
      <c r="I69" s="1003"/>
      <c r="J69" s="1138"/>
      <c r="K69" s="1002"/>
      <c r="L69" s="1136"/>
      <c r="M69" s="1002"/>
      <c r="N69" s="1014"/>
      <c r="O69" s="1015"/>
      <c r="P69" s="1006"/>
      <c r="Q69" s="1006"/>
      <c r="R69" s="1007"/>
      <c r="S69" s="1006"/>
      <c r="T69" s="1006"/>
      <c r="U69" s="1006"/>
      <c r="V69" s="1006"/>
      <c r="W69" s="1006"/>
      <c r="X69" s="1008"/>
      <c r="Y69" s="1006"/>
      <c r="Z69" s="1006"/>
      <c r="AA69" s="1006"/>
      <c r="AB69" s="1006"/>
      <c r="AC69" s="1009"/>
      <c r="AD69" s="1006"/>
      <c r="AE69" s="1006"/>
      <c r="AF69" s="1006"/>
      <c r="AG69" s="1006"/>
      <c r="AH69" s="1009"/>
      <c r="AJ69" s="1011"/>
      <c r="AK69" s="1011"/>
      <c r="AL69" s="863"/>
      <c r="AM69" s="863"/>
      <c r="AN69" s="1012"/>
      <c r="AQ69" s="1012"/>
      <c r="AR69" s="863"/>
      <c r="AS69" s="863"/>
      <c r="AT69" s="863"/>
      <c r="AU69" s="1007"/>
      <c r="AY69" s="994"/>
      <c r="AZ69" s="994"/>
      <c r="BA69" s="994"/>
      <c r="BB69" s="994"/>
      <c r="BC69" s="994"/>
      <c r="BD69" s="994"/>
      <c r="BE69" s="994"/>
      <c r="BF69" s="994"/>
      <c r="BG69" s="994"/>
      <c r="BH69" s="994"/>
      <c r="BI69" s="994"/>
      <c r="BJ69" s="994"/>
      <c r="BK69" s="994"/>
      <c r="BL69" s="994"/>
      <c r="BM69" s="994"/>
      <c r="BN69" s="994"/>
      <c r="BO69" s="994"/>
      <c r="BP69" s="994"/>
      <c r="BQ69" s="994"/>
      <c r="BR69" s="994"/>
      <c r="BS69" s="994"/>
      <c r="BT69" s="994"/>
      <c r="BU69" s="994"/>
      <c r="BV69" s="994"/>
      <c r="BW69" s="994"/>
      <c r="BX69" s="994"/>
      <c r="BY69" s="994"/>
      <c r="BZ69" s="994"/>
      <c r="CA69" s="994"/>
      <c r="CB69" s="994"/>
      <c r="CC69" s="994"/>
      <c r="CD69" s="994"/>
      <c r="CE69" s="994"/>
      <c r="CF69" s="994"/>
      <c r="CG69" s="994"/>
      <c r="CH69" s="994"/>
      <c r="CI69" s="994"/>
      <c r="CJ69" s="994"/>
      <c r="CK69" s="994"/>
      <c r="CL69" s="994"/>
      <c r="CM69" s="994"/>
      <c r="CN69" s="994"/>
      <c r="CO69" s="994"/>
      <c r="CP69" s="994"/>
      <c r="CQ69" s="994"/>
      <c r="CR69" s="994"/>
      <c r="CS69" s="994"/>
      <c r="CT69" s="994"/>
      <c r="CU69" s="994"/>
      <c r="CV69" s="994"/>
      <c r="CW69" s="994"/>
      <c r="CX69" s="994"/>
      <c r="CY69" s="994"/>
      <c r="CZ69" s="994"/>
      <c r="DA69" s="994"/>
      <c r="DB69" s="994"/>
      <c r="DC69" s="994"/>
      <c r="DD69" s="994"/>
      <c r="DE69" s="994"/>
      <c r="DF69" s="994"/>
      <c r="DG69" s="994"/>
      <c r="DH69" s="994"/>
      <c r="DI69" s="994"/>
      <c r="DJ69" s="994"/>
      <c r="DK69" s="994"/>
      <c r="DL69" s="994"/>
      <c r="DM69" s="994"/>
      <c r="DN69" s="994"/>
      <c r="DO69" s="994"/>
      <c r="DP69" s="994"/>
      <c r="DQ69" s="994"/>
      <c r="DR69" s="994"/>
      <c r="DS69" s="994"/>
      <c r="DT69" s="994"/>
      <c r="DU69" s="994"/>
      <c r="DV69" s="994"/>
      <c r="DW69" s="994"/>
      <c r="DX69" s="994"/>
      <c r="DY69" s="994"/>
      <c r="DZ69" s="994"/>
      <c r="EA69" s="994"/>
      <c r="EB69" s="994"/>
      <c r="EC69" s="994"/>
      <c r="ED69" s="994"/>
      <c r="EE69" s="994"/>
      <c r="EF69" s="994"/>
      <c r="EG69" s="994"/>
      <c r="EH69" s="994"/>
      <c r="EI69" s="994"/>
      <c r="EJ69" s="994"/>
      <c r="EK69" s="994"/>
      <c r="EL69" s="994"/>
      <c r="EM69" s="994"/>
      <c r="EN69" s="994"/>
      <c r="EO69" s="994"/>
    </row>
    <row r="70" spans="1:145" s="1010" customFormat="1" ht="15">
      <c r="A70" s="1011"/>
      <c r="B70" s="1028"/>
      <c r="C70" s="645"/>
      <c r="D70" s="1218"/>
      <c r="E70" s="1001"/>
      <c r="F70" s="1219"/>
      <c r="G70" s="1003"/>
      <c r="H70" s="1138"/>
      <c r="I70" s="1003"/>
      <c r="J70" s="1138"/>
      <c r="K70" s="1002"/>
      <c r="L70" s="1136"/>
      <c r="M70" s="1002"/>
      <c r="N70" s="1014"/>
      <c r="O70" s="1015"/>
      <c r="P70" s="1006"/>
      <c r="Q70" s="1006"/>
      <c r="R70" s="1007"/>
      <c r="S70" s="1006"/>
      <c r="T70" s="1006"/>
      <c r="U70" s="1006"/>
      <c r="V70" s="1006"/>
      <c r="W70" s="1006"/>
      <c r="X70" s="1008"/>
      <c r="Y70" s="1006"/>
      <c r="Z70" s="1006"/>
      <c r="AA70" s="1006"/>
      <c r="AB70" s="1006"/>
      <c r="AC70" s="1009"/>
      <c r="AD70" s="1006"/>
      <c r="AE70" s="1006"/>
      <c r="AF70" s="1006"/>
      <c r="AG70" s="1006"/>
      <c r="AH70" s="1009"/>
      <c r="AJ70" s="1011"/>
      <c r="AK70" s="1011"/>
      <c r="AL70" s="863"/>
      <c r="AM70" s="863"/>
      <c r="AN70" s="1012"/>
      <c r="AQ70" s="1012"/>
      <c r="AR70" s="863"/>
      <c r="AS70" s="863"/>
      <c r="AT70" s="863"/>
      <c r="AU70" s="1007"/>
      <c r="AY70" s="994"/>
      <c r="AZ70" s="994"/>
      <c r="BA70" s="994"/>
      <c r="BB70" s="994"/>
      <c r="BC70" s="994"/>
      <c r="BD70" s="994"/>
      <c r="BE70" s="994"/>
      <c r="BF70" s="994"/>
      <c r="BG70" s="994"/>
      <c r="BH70" s="994"/>
      <c r="BI70" s="994"/>
      <c r="BJ70" s="994"/>
      <c r="BK70" s="994"/>
      <c r="BL70" s="994"/>
      <c r="BM70" s="994"/>
      <c r="BN70" s="994"/>
      <c r="BO70" s="994"/>
      <c r="BP70" s="994"/>
      <c r="BQ70" s="994"/>
      <c r="BR70" s="994"/>
      <c r="BS70" s="994"/>
      <c r="BT70" s="994"/>
      <c r="BU70" s="994"/>
      <c r="BV70" s="994"/>
      <c r="BW70" s="994"/>
      <c r="BX70" s="994"/>
      <c r="BY70" s="994"/>
      <c r="BZ70" s="994"/>
      <c r="CA70" s="994"/>
      <c r="CB70" s="994"/>
      <c r="CC70" s="994"/>
      <c r="CD70" s="994"/>
      <c r="CE70" s="994"/>
      <c r="CF70" s="994"/>
      <c r="CG70" s="994"/>
      <c r="CH70" s="994"/>
      <c r="CI70" s="994"/>
      <c r="CJ70" s="994"/>
      <c r="CK70" s="994"/>
      <c r="CL70" s="994"/>
      <c r="CM70" s="994"/>
      <c r="CN70" s="994"/>
      <c r="CO70" s="994"/>
      <c r="CP70" s="994"/>
      <c r="CQ70" s="994"/>
      <c r="CR70" s="994"/>
      <c r="CS70" s="994"/>
      <c r="CT70" s="994"/>
      <c r="CU70" s="994"/>
      <c r="CV70" s="994"/>
      <c r="CW70" s="994"/>
      <c r="CX70" s="994"/>
      <c r="CY70" s="994"/>
      <c r="CZ70" s="994"/>
      <c r="DA70" s="994"/>
      <c r="DB70" s="994"/>
      <c r="DC70" s="994"/>
      <c r="DD70" s="994"/>
      <c r="DE70" s="994"/>
      <c r="DF70" s="994"/>
      <c r="DG70" s="994"/>
      <c r="DH70" s="994"/>
      <c r="DI70" s="994"/>
      <c r="DJ70" s="994"/>
      <c r="DK70" s="994"/>
      <c r="DL70" s="994"/>
      <c r="DM70" s="994"/>
      <c r="DN70" s="994"/>
      <c r="DO70" s="994"/>
      <c r="DP70" s="994"/>
      <c r="DQ70" s="994"/>
      <c r="DR70" s="994"/>
      <c r="DS70" s="994"/>
      <c r="DT70" s="994"/>
      <c r="DU70" s="994"/>
      <c r="DV70" s="994"/>
      <c r="DW70" s="994"/>
      <c r="DX70" s="994"/>
      <c r="DY70" s="994"/>
      <c r="DZ70" s="994"/>
      <c r="EA70" s="994"/>
      <c r="EB70" s="994"/>
      <c r="EC70" s="994"/>
      <c r="ED70" s="994"/>
      <c r="EE70" s="994"/>
      <c r="EF70" s="994"/>
      <c r="EG70" s="994"/>
      <c r="EH70" s="994"/>
      <c r="EI70" s="994"/>
      <c r="EJ70" s="994"/>
      <c r="EK70" s="994"/>
      <c r="EL70" s="994"/>
      <c r="EM70" s="994"/>
      <c r="EN70" s="994"/>
      <c r="EO70" s="994"/>
    </row>
    <row r="71" spans="1:145" ht="15">
      <c r="A71" s="1034" t="s">
        <v>62</v>
      </c>
      <c r="B71" s="1034"/>
      <c r="C71" s="656" t="s">
        <v>25</v>
      </c>
      <c r="D71" s="1156" t="s">
        <v>25</v>
      </c>
      <c r="E71" s="1050"/>
      <c r="F71" s="1167"/>
      <c r="G71" s="1051">
        <f>SUM(G60:G64)</f>
        <v>41550.83257</v>
      </c>
      <c r="H71" s="1141">
        <v>259248</v>
      </c>
      <c r="I71" s="1003"/>
      <c r="J71" s="1138"/>
      <c r="K71" s="1051">
        <f>SUM(K60:K64)</f>
        <v>204675.11854166666</v>
      </c>
      <c r="L71" s="1141">
        <v>784674.3333333333</v>
      </c>
      <c r="M71" s="1051">
        <f>SUM(M60:M64)</f>
        <v>3584462.0320000006</v>
      </c>
      <c r="N71" s="1019"/>
      <c r="O71" s="1051">
        <f>SUM(O60:O64)</f>
        <v>48766.960666666666</v>
      </c>
      <c r="P71" s="1051">
        <f>SUM(P60:P64)</f>
        <v>1228050.71125</v>
      </c>
      <c r="Q71" s="1051">
        <f>SUM(Q60:Q64)</f>
        <v>1081749.82925</v>
      </c>
      <c r="R71" s="1041"/>
      <c r="S71" s="1029">
        <f>SUM(S60:S64)</f>
        <v>1228050.71125</v>
      </c>
      <c r="T71" s="1029">
        <f>SUM(T60:T64)</f>
        <v>0</v>
      </c>
      <c r="U71" s="1029">
        <f>SUM(U60:U64)</f>
        <v>0</v>
      </c>
      <c r="V71" s="1029">
        <f>SUM(V60:V64)</f>
        <v>0</v>
      </c>
      <c r="W71" s="1029">
        <f>SUM(W60:W64)</f>
        <v>1228050.71125</v>
      </c>
      <c r="X71" s="1009">
        <v>773621.468549201</v>
      </c>
      <c r="Y71" s="1009">
        <f aca="true" t="shared" si="44" ref="Y71:AH71">SUM(Y60:Y64)</f>
        <v>204675.11854166666</v>
      </c>
      <c r="Z71" s="1009">
        <f t="shared" si="44"/>
        <v>0</v>
      </c>
      <c r="AA71" s="1009">
        <f t="shared" si="44"/>
        <v>0</v>
      </c>
      <c r="AB71" s="1009">
        <f t="shared" si="44"/>
        <v>0</v>
      </c>
      <c r="AC71" s="1009">
        <f t="shared" si="44"/>
        <v>204675.11854166666</v>
      </c>
      <c r="AD71" s="1009">
        <f t="shared" si="44"/>
        <v>48766.960666666666</v>
      </c>
      <c r="AE71" s="1009">
        <f t="shared" si="44"/>
        <v>0</v>
      </c>
      <c r="AF71" s="1009">
        <f t="shared" si="44"/>
        <v>0</v>
      </c>
      <c r="AG71" s="1009">
        <f t="shared" si="44"/>
        <v>0</v>
      </c>
      <c r="AH71" s="1009">
        <f t="shared" si="44"/>
        <v>48766.960666666666</v>
      </c>
      <c r="AY71" s="1279"/>
      <c r="AZ71" s="1279"/>
      <c r="BA71" s="1279"/>
      <c r="BB71" s="1279"/>
      <c r="BC71" s="1279"/>
      <c r="BD71" s="1279"/>
      <c r="BE71" s="1279"/>
      <c r="BF71" s="1279"/>
      <c r="BG71" s="1279"/>
      <c r="BH71" s="1279"/>
      <c r="BI71" s="1279"/>
      <c r="BJ71" s="1279"/>
      <c r="BK71" s="1279"/>
      <c r="BL71" s="1279"/>
      <c r="BM71" s="1279"/>
      <c r="BN71" s="1279"/>
      <c r="BO71" s="1279"/>
      <c r="BP71" s="1279"/>
      <c r="BQ71" s="1279"/>
      <c r="BR71" s="1279"/>
      <c r="BS71" s="1279"/>
      <c r="BT71" s="1279"/>
      <c r="BU71" s="1279"/>
      <c r="BV71" s="1279"/>
      <c r="BW71" s="1279"/>
      <c r="BX71" s="1279"/>
      <c r="BY71" s="1279"/>
      <c r="BZ71" s="1279"/>
      <c r="CA71" s="1279"/>
      <c r="CB71" s="1279"/>
      <c r="CC71" s="1279"/>
      <c r="CD71" s="1279"/>
      <c r="CE71" s="1279"/>
      <c r="CF71" s="1279"/>
      <c r="CG71" s="1279"/>
      <c r="CH71" s="1279"/>
      <c r="CI71" s="1279"/>
      <c r="CJ71" s="1279"/>
      <c r="CK71" s="1279"/>
      <c r="CL71" s="1279"/>
      <c r="CM71" s="1279"/>
      <c r="CN71" s="1279"/>
      <c r="CO71" s="1279"/>
      <c r="CP71" s="1279"/>
      <c r="CQ71" s="1279"/>
      <c r="CR71" s="1279"/>
      <c r="CS71" s="1279"/>
      <c r="CT71" s="1279"/>
      <c r="CU71" s="1279"/>
      <c r="CV71" s="1279"/>
      <c r="CW71" s="1279"/>
      <c r="CX71" s="1279"/>
      <c r="CY71" s="1279"/>
      <c r="CZ71" s="1279"/>
      <c r="DA71" s="1279"/>
      <c r="DB71" s="1279"/>
      <c r="DC71" s="1279"/>
      <c r="DD71" s="1279"/>
      <c r="DE71" s="1279"/>
      <c r="DF71" s="1279"/>
      <c r="DG71" s="1279"/>
      <c r="DH71" s="1279"/>
      <c r="DI71" s="1279"/>
      <c r="DJ71" s="1279"/>
      <c r="DK71" s="1279"/>
      <c r="DL71" s="1279"/>
      <c r="DM71" s="1279"/>
      <c r="DN71" s="1279"/>
      <c r="DO71" s="1279"/>
      <c r="DP71" s="1279"/>
      <c r="DQ71" s="1279"/>
      <c r="DR71" s="1279"/>
      <c r="DS71" s="1279"/>
      <c r="DT71" s="1279"/>
      <c r="DU71" s="1279"/>
      <c r="DV71" s="1279"/>
      <c r="DW71" s="1279"/>
      <c r="DX71" s="1279"/>
      <c r="DY71" s="1279"/>
      <c r="DZ71" s="1279"/>
      <c r="EA71" s="1279"/>
      <c r="EB71" s="1279"/>
      <c r="EC71" s="1279"/>
      <c r="ED71" s="1279"/>
      <c r="EE71" s="1279"/>
      <c r="EF71" s="1279"/>
      <c r="EG71" s="1279"/>
      <c r="EH71" s="1279"/>
      <c r="EI71" s="1279"/>
      <c r="EJ71" s="1279"/>
      <c r="EK71" s="1279"/>
      <c r="EL71" s="1279"/>
      <c r="EM71" s="1279"/>
      <c r="EN71" s="1279"/>
      <c r="EO71" s="1279"/>
    </row>
    <row r="72" spans="1:145" s="972" customFormat="1" ht="15">
      <c r="A72" s="985" t="s">
        <v>51</v>
      </c>
      <c r="B72" s="985"/>
      <c r="C72" s="986"/>
      <c r="D72" s="1150"/>
      <c r="E72" s="987"/>
      <c r="F72" s="1161"/>
      <c r="G72" s="988"/>
      <c r="H72" s="1134"/>
      <c r="I72" s="988"/>
      <c r="J72" s="1134"/>
      <c r="K72" s="988"/>
      <c r="L72" s="1134"/>
      <c r="M72" s="988"/>
      <c r="N72" s="989"/>
      <c r="O72" s="989"/>
      <c r="P72" s="990"/>
      <c r="Q72" s="990"/>
      <c r="R72" s="991"/>
      <c r="S72" s="990"/>
      <c r="T72" s="990"/>
      <c r="U72" s="990"/>
      <c r="V72" s="990"/>
      <c r="W72" s="990"/>
      <c r="X72" s="992"/>
      <c r="Y72" s="992"/>
      <c r="Z72" s="992"/>
      <c r="AA72" s="992"/>
      <c r="AB72" s="992"/>
      <c r="AC72" s="992"/>
      <c r="AD72" s="992"/>
      <c r="AE72" s="992"/>
      <c r="AF72" s="992"/>
      <c r="AG72" s="992"/>
      <c r="AH72" s="992"/>
      <c r="AJ72" s="1052"/>
      <c r="AK72" s="1052"/>
      <c r="AL72" s="1053"/>
      <c r="AM72" s="1053"/>
      <c r="AN72" s="1054"/>
      <c r="AQ72" s="1054"/>
      <c r="AR72" s="1053"/>
      <c r="AS72" s="1053"/>
      <c r="AT72" s="1053"/>
      <c r="AU72" s="1055"/>
      <c r="AY72" s="1056"/>
      <c r="AZ72" s="1056"/>
      <c r="BA72" s="1056"/>
      <c r="BB72" s="1056"/>
      <c r="BC72" s="1056"/>
      <c r="BD72" s="1056"/>
      <c r="BE72" s="1056"/>
      <c r="BF72" s="1056"/>
      <c r="BG72" s="1056"/>
      <c r="BH72" s="1056"/>
      <c r="BI72" s="1056"/>
      <c r="BJ72" s="1056"/>
      <c r="BK72" s="1056"/>
      <c r="BL72" s="1056"/>
      <c r="BM72" s="1056"/>
      <c r="BN72" s="1056"/>
      <c r="BO72" s="1056"/>
      <c r="BP72" s="1056"/>
      <c r="BQ72" s="1056"/>
      <c r="BR72" s="1056"/>
      <c r="BS72" s="1056"/>
      <c r="BT72" s="1056"/>
      <c r="BU72" s="1056"/>
      <c r="BV72" s="1056"/>
      <c r="BW72" s="1056"/>
      <c r="BX72" s="1056"/>
      <c r="BY72" s="1056"/>
      <c r="BZ72" s="1056"/>
      <c r="CA72" s="1056"/>
      <c r="CB72" s="1056"/>
      <c r="CC72" s="1056"/>
      <c r="CD72" s="1056"/>
      <c r="CE72" s="1056"/>
      <c r="CF72" s="1056"/>
      <c r="CG72" s="1056"/>
      <c r="CH72" s="1056"/>
      <c r="CI72" s="1056"/>
      <c r="CJ72" s="1056"/>
      <c r="CK72" s="1056"/>
      <c r="CL72" s="1056"/>
      <c r="CM72" s="1056"/>
      <c r="CN72" s="1056"/>
      <c r="CO72" s="1056"/>
      <c r="CP72" s="1056"/>
      <c r="CQ72" s="1056"/>
      <c r="CR72" s="1056"/>
      <c r="CS72" s="1056"/>
      <c r="CT72" s="1056"/>
      <c r="CU72" s="1056"/>
      <c r="CV72" s="1056"/>
      <c r="CW72" s="1056"/>
      <c r="CX72" s="1056"/>
      <c r="CY72" s="1056"/>
      <c r="CZ72" s="1056"/>
      <c r="DA72" s="1056"/>
      <c r="DB72" s="1056"/>
      <c r="DC72" s="1056"/>
      <c r="DD72" s="1056"/>
      <c r="DE72" s="1056"/>
      <c r="DF72" s="1056"/>
      <c r="DG72" s="1056"/>
      <c r="DH72" s="1056"/>
      <c r="DI72" s="1056"/>
      <c r="DJ72" s="1056"/>
      <c r="DK72" s="1056"/>
      <c r="DL72" s="1056"/>
      <c r="DM72" s="1056"/>
      <c r="DN72" s="1056"/>
      <c r="DO72" s="1056"/>
      <c r="DP72" s="1056"/>
      <c r="DQ72" s="1056"/>
      <c r="DR72" s="1056"/>
      <c r="DS72" s="1056"/>
      <c r="DT72" s="1056"/>
      <c r="DU72" s="1056"/>
      <c r="DV72" s="1056"/>
      <c r="DW72" s="1056"/>
      <c r="DX72" s="1056"/>
      <c r="DY72" s="1056"/>
      <c r="DZ72" s="1056"/>
      <c r="EA72" s="1056"/>
      <c r="EB72" s="1056"/>
      <c r="EC72" s="1056"/>
      <c r="ED72" s="1056"/>
      <c r="EE72" s="1056"/>
      <c r="EF72" s="1056"/>
      <c r="EG72" s="1056"/>
      <c r="EH72" s="1056"/>
      <c r="EI72" s="1056"/>
      <c r="EJ72" s="1056"/>
      <c r="EK72" s="1056"/>
      <c r="EL72" s="1056"/>
      <c r="EM72" s="1056"/>
      <c r="EN72" s="1056"/>
      <c r="EO72" s="1056"/>
    </row>
    <row r="73" spans="1:145" ht="15">
      <c r="A73" s="1011" t="s">
        <v>63</v>
      </c>
      <c r="B73" s="1028">
        <v>80</v>
      </c>
      <c r="C73" s="645">
        <f>'Line Item Descriptions'!F74</f>
        <v>500</v>
      </c>
      <c r="D73" s="1218">
        <v>500</v>
      </c>
      <c r="E73" s="1001">
        <f>Number_of_Districts</f>
        <v>174</v>
      </c>
      <c r="F73" s="1219">
        <v>175</v>
      </c>
      <c r="G73" s="1051"/>
      <c r="H73" s="1141"/>
      <c r="I73" s="1003">
        <f>K73/E73</f>
        <v>83.33333333333333</v>
      </c>
      <c r="J73" s="1138">
        <v>83.33333333333334</v>
      </c>
      <c r="K73" s="1002">
        <f>P73/BudgetYears</f>
        <v>14500</v>
      </c>
      <c r="L73" s="1136">
        <v>14583.333333333334</v>
      </c>
      <c r="M73" s="1002">
        <f>'TAR Numbers'!BJ10+'TAR Numbers'!BK10</f>
        <v>125837.10500000001</v>
      </c>
      <c r="N73" s="1014">
        <v>6</v>
      </c>
      <c r="O73" s="1015">
        <v>0</v>
      </c>
      <c r="P73" s="1006">
        <f>(C73*E73)*(BudgetYears/N73)</f>
        <v>87000</v>
      </c>
      <c r="Q73" s="1006">
        <f>(P73)-(O73*3)</f>
        <v>87000</v>
      </c>
      <c r="R73" s="1007" t="s">
        <v>18</v>
      </c>
      <c r="S73" s="1006">
        <f>IF($R73="S/L or L",$P73,0)</f>
        <v>87000</v>
      </c>
      <c r="T73" s="1006">
        <f>IF($R73="L",$P73,0)</f>
        <v>0</v>
      </c>
      <c r="U73" s="1006">
        <f>IF($R73="S",$P73,0)</f>
        <v>0</v>
      </c>
      <c r="V73" s="1006">
        <f>IF($R73="F",$P73,0)</f>
        <v>0</v>
      </c>
      <c r="W73" s="1006">
        <f>SUM(S73:V73)</f>
        <v>87000</v>
      </c>
      <c r="X73" s="1008" t="s">
        <v>25</v>
      </c>
      <c r="Y73" s="1006">
        <f>IF($R73="S/L or L",$K73,0)</f>
        <v>14500</v>
      </c>
      <c r="Z73" s="1006">
        <f>IF($R73="L",$K73,0)</f>
        <v>0</v>
      </c>
      <c r="AA73" s="1006">
        <f>IF($R73="S",$K73,0)</f>
        <v>0</v>
      </c>
      <c r="AB73" s="1006">
        <f>IF($R73="F",$K73,0)</f>
        <v>0</v>
      </c>
      <c r="AC73" s="1009">
        <f>SUM(Y73:AB73)</f>
        <v>14500</v>
      </c>
      <c r="AD73" s="1006">
        <f>IF($R73="S/L or L",$O73,0)</f>
        <v>0</v>
      </c>
      <c r="AE73" s="1006">
        <f>IF($R73="L",$O73,0)</f>
        <v>0</v>
      </c>
      <c r="AF73" s="1006">
        <f>IF($R73="S",$O73,0)</f>
        <v>0</v>
      </c>
      <c r="AG73" s="1006">
        <f>IF($R73="F",$O73,0)</f>
        <v>0</v>
      </c>
      <c r="AH73" s="1009">
        <f>SUM(AD73:AG73)</f>
        <v>0</v>
      </c>
      <c r="AY73" s="1279"/>
      <c r="AZ73" s="1279"/>
      <c r="BA73" s="1279"/>
      <c r="BB73" s="1279"/>
      <c r="BC73" s="1279"/>
      <c r="BD73" s="1279"/>
      <c r="BE73" s="1279"/>
      <c r="BF73" s="1279"/>
      <c r="BG73" s="1279"/>
      <c r="BH73" s="1279"/>
      <c r="BI73" s="1279"/>
      <c r="BJ73" s="1279"/>
      <c r="BK73" s="1279"/>
      <c r="BL73" s="1279"/>
      <c r="BM73" s="1279"/>
      <c r="BN73" s="1279"/>
      <c r="BO73" s="1279"/>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c r="DD73" s="1279"/>
      <c r="DE73" s="1279"/>
      <c r="DF73" s="1279"/>
      <c r="DG73" s="1279"/>
      <c r="DH73" s="1279"/>
      <c r="DI73" s="1279"/>
      <c r="DJ73" s="1279"/>
      <c r="DK73" s="1279"/>
      <c r="DL73" s="1279"/>
      <c r="DM73" s="1279"/>
      <c r="DN73" s="1279"/>
      <c r="DO73" s="1279"/>
      <c r="DP73" s="1279"/>
      <c r="DQ73" s="1279"/>
      <c r="DR73" s="1279"/>
      <c r="DS73" s="1279"/>
      <c r="DT73" s="1279"/>
      <c r="DU73" s="1279"/>
      <c r="DV73" s="1279"/>
      <c r="DW73" s="1279"/>
      <c r="DX73" s="1279"/>
      <c r="DY73" s="1279"/>
      <c r="DZ73" s="1279"/>
      <c r="EA73" s="1279"/>
      <c r="EB73" s="1279"/>
      <c r="EC73" s="1279"/>
      <c r="ED73" s="1279"/>
      <c r="EE73" s="1279"/>
      <c r="EF73" s="1279"/>
      <c r="EG73" s="1279"/>
      <c r="EH73" s="1279"/>
      <c r="EI73" s="1279"/>
      <c r="EJ73" s="1279"/>
      <c r="EK73" s="1279"/>
      <c r="EL73" s="1279"/>
      <c r="EM73" s="1279"/>
      <c r="EN73" s="1279"/>
      <c r="EO73" s="1279"/>
    </row>
    <row r="74" spans="1:145" ht="15">
      <c r="A74" s="1034" t="s">
        <v>64</v>
      </c>
      <c r="B74" s="1034"/>
      <c r="C74" s="656"/>
      <c r="D74" s="1156"/>
      <c r="E74" s="1050"/>
      <c r="F74" s="1167"/>
      <c r="G74" s="1051"/>
      <c r="H74" s="1141"/>
      <c r="I74" s="1003"/>
      <c r="J74" s="1138"/>
      <c r="K74" s="1051">
        <f>SUM(K73:K73)</f>
        <v>14500</v>
      </c>
      <c r="L74" s="1141">
        <v>14583.333333333334</v>
      </c>
      <c r="M74" s="1051">
        <f>SUM(M73:M73)</f>
        <v>125837.10500000001</v>
      </c>
      <c r="N74" s="1019"/>
      <c r="O74" s="1051">
        <f aca="true" t="shared" si="45" ref="O74:AH74">SUM(O73:O73)</f>
        <v>0</v>
      </c>
      <c r="P74" s="1051">
        <f t="shared" si="45"/>
        <v>87000</v>
      </c>
      <c r="Q74" s="1051">
        <f t="shared" si="45"/>
        <v>87000</v>
      </c>
      <c r="R74" s="1041"/>
      <c r="S74" s="1051">
        <f t="shared" si="45"/>
        <v>87000</v>
      </c>
      <c r="T74" s="1051">
        <f t="shared" si="45"/>
        <v>0</v>
      </c>
      <c r="U74" s="1051">
        <f t="shared" si="45"/>
        <v>0</v>
      </c>
      <c r="V74" s="1051">
        <f t="shared" si="45"/>
        <v>0</v>
      </c>
      <c r="W74" s="1051">
        <f t="shared" si="45"/>
        <v>87000</v>
      </c>
      <c r="X74" s="1051">
        <f t="shared" si="45"/>
        <v>0</v>
      </c>
      <c r="Y74" s="1051">
        <f t="shared" si="45"/>
        <v>14500</v>
      </c>
      <c r="Z74" s="1051">
        <f t="shared" si="45"/>
        <v>0</v>
      </c>
      <c r="AA74" s="1051">
        <f t="shared" si="45"/>
        <v>0</v>
      </c>
      <c r="AB74" s="1051">
        <f t="shared" si="45"/>
        <v>0</v>
      </c>
      <c r="AC74" s="1051">
        <f t="shared" si="45"/>
        <v>14500</v>
      </c>
      <c r="AD74" s="1051">
        <f t="shared" si="45"/>
        <v>0</v>
      </c>
      <c r="AE74" s="1051">
        <f t="shared" si="45"/>
        <v>0</v>
      </c>
      <c r="AF74" s="1051">
        <f t="shared" si="45"/>
        <v>0</v>
      </c>
      <c r="AG74" s="1051">
        <f t="shared" si="45"/>
        <v>0</v>
      </c>
      <c r="AH74" s="1051">
        <f t="shared" si="45"/>
        <v>0</v>
      </c>
      <c r="AY74" s="1279"/>
      <c r="AZ74" s="1279"/>
      <c r="BA74" s="1279"/>
      <c r="BB74" s="1279"/>
      <c r="BC74" s="1279"/>
      <c r="BD74" s="1279"/>
      <c r="BE74" s="1279"/>
      <c r="BF74" s="1279"/>
      <c r="BG74" s="1279"/>
      <c r="BH74" s="1279"/>
      <c r="BI74" s="1279"/>
      <c r="BJ74" s="1279"/>
      <c r="BK74" s="1279"/>
      <c r="BL74" s="1279"/>
      <c r="BM74" s="1279"/>
      <c r="BN74" s="1279"/>
      <c r="BO74" s="1279"/>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c r="DD74" s="1279"/>
      <c r="DE74" s="1279"/>
      <c r="DF74" s="1279"/>
      <c r="DG74" s="1279"/>
      <c r="DH74" s="1279"/>
      <c r="DI74" s="1279"/>
      <c r="DJ74" s="1279"/>
      <c r="DK74" s="1279"/>
      <c r="DL74" s="1279"/>
      <c r="DM74" s="1279"/>
      <c r="DN74" s="1279"/>
      <c r="DO74" s="1279"/>
      <c r="DP74" s="1279"/>
      <c r="DQ74" s="1279"/>
      <c r="DR74" s="1279"/>
      <c r="DS74" s="1279"/>
      <c r="DT74" s="1279"/>
      <c r="DU74" s="1279"/>
      <c r="DV74" s="1279"/>
      <c r="DW74" s="1279"/>
      <c r="DX74" s="1279"/>
      <c r="DY74" s="1279"/>
      <c r="DZ74" s="1279"/>
      <c r="EA74" s="1279"/>
      <c r="EB74" s="1279"/>
      <c r="EC74" s="1279"/>
      <c r="ED74" s="1279"/>
      <c r="EE74" s="1279"/>
      <c r="EF74" s="1279"/>
      <c r="EG74" s="1279"/>
      <c r="EH74" s="1279"/>
      <c r="EI74" s="1279"/>
      <c r="EJ74" s="1279"/>
      <c r="EK74" s="1279"/>
      <c r="EL74" s="1279"/>
      <c r="EM74" s="1279"/>
      <c r="EN74" s="1279"/>
      <c r="EO74" s="1279"/>
    </row>
    <row r="75" spans="1:145" s="972" customFormat="1" ht="15">
      <c r="A75" s="985" t="s">
        <v>931</v>
      </c>
      <c r="B75" s="985"/>
      <c r="C75" s="991"/>
      <c r="D75" s="1157"/>
      <c r="E75" s="987"/>
      <c r="F75" s="1161"/>
      <c r="G75" s="988"/>
      <c r="H75" s="1134"/>
      <c r="I75" s="988"/>
      <c r="J75" s="1134"/>
      <c r="K75" s="988"/>
      <c r="L75" s="1134"/>
      <c r="M75" s="988"/>
      <c r="N75" s="989"/>
      <c r="O75" s="989"/>
      <c r="P75" s="990"/>
      <c r="Q75" s="990"/>
      <c r="R75" s="991"/>
      <c r="S75" s="990"/>
      <c r="T75" s="990"/>
      <c r="U75" s="990"/>
      <c r="V75" s="990"/>
      <c r="W75" s="990"/>
      <c r="X75" s="992"/>
      <c r="Y75" s="992"/>
      <c r="Z75" s="992"/>
      <c r="AA75" s="992"/>
      <c r="AB75" s="992"/>
      <c r="AC75" s="992"/>
      <c r="AD75" s="992"/>
      <c r="AE75" s="992"/>
      <c r="AF75" s="992"/>
      <c r="AG75" s="992"/>
      <c r="AH75" s="992"/>
      <c r="AJ75" s="1052"/>
      <c r="AK75" s="1052"/>
      <c r="AL75" s="1053"/>
      <c r="AM75" s="1053"/>
      <c r="AN75" s="1054"/>
      <c r="AQ75" s="1054"/>
      <c r="AR75" s="1053"/>
      <c r="AS75" s="1053"/>
      <c r="AT75" s="1053"/>
      <c r="AU75" s="1055"/>
      <c r="AY75" s="1056"/>
      <c r="AZ75" s="1056"/>
      <c r="BA75" s="1056"/>
      <c r="BB75" s="1056"/>
      <c r="BC75" s="1056"/>
      <c r="BD75" s="1056"/>
      <c r="BE75" s="1056"/>
      <c r="BF75" s="1056"/>
      <c r="BG75" s="1056"/>
      <c r="BH75" s="1056"/>
      <c r="BI75" s="1056"/>
      <c r="BJ75" s="1056"/>
      <c r="BK75" s="1056"/>
      <c r="BL75" s="1056"/>
      <c r="BM75" s="1056"/>
      <c r="BN75" s="1056"/>
      <c r="BO75" s="1056"/>
      <c r="BP75" s="1056"/>
      <c r="BQ75" s="1056"/>
      <c r="BR75" s="1056"/>
      <c r="BS75" s="1056"/>
      <c r="BT75" s="1056"/>
      <c r="BU75" s="1056"/>
      <c r="BV75" s="1056"/>
      <c r="BW75" s="1056"/>
      <c r="BX75" s="1056"/>
      <c r="BY75" s="1056"/>
      <c r="BZ75" s="1056"/>
      <c r="CA75" s="1056"/>
      <c r="CB75" s="1056"/>
      <c r="CC75" s="1056"/>
      <c r="CD75" s="1056"/>
      <c r="CE75" s="1056"/>
      <c r="CF75" s="1056"/>
      <c r="CG75" s="1056"/>
      <c r="CH75" s="1056"/>
      <c r="CI75" s="1056"/>
      <c r="CJ75" s="1056"/>
      <c r="CK75" s="1056"/>
      <c r="CL75" s="1056"/>
      <c r="CM75" s="1056"/>
      <c r="CN75" s="1056"/>
      <c r="CO75" s="1056"/>
      <c r="CP75" s="1056"/>
      <c r="CQ75" s="1056"/>
      <c r="CR75" s="1056"/>
      <c r="CS75" s="1056"/>
      <c r="CT75" s="1056"/>
      <c r="CU75" s="1056"/>
      <c r="CV75" s="1056"/>
      <c r="CW75" s="1056"/>
      <c r="CX75" s="1056"/>
      <c r="CY75" s="1056"/>
      <c r="CZ75" s="1056"/>
      <c r="DA75" s="1056"/>
      <c r="DB75" s="1056"/>
      <c r="DC75" s="1056"/>
      <c r="DD75" s="1056"/>
      <c r="DE75" s="1056"/>
      <c r="DF75" s="1056"/>
      <c r="DG75" s="1056"/>
      <c r="DH75" s="1056"/>
      <c r="DI75" s="1056"/>
      <c r="DJ75" s="1056"/>
      <c r="DK75" s="1056"/>
      <c r="DL75" s="1056"/>
      <c r="DM75" s="1056"/>
      <c r="DN75" s="1056"/>
      <c r="DO75" s="1056"/>
      <c r="DP75" s="1056"/>
      <c r="DQ75" s="1056"/>
      <c r="DR75" s="1056"/>
      <c r="DS75" s="1056"/>
      <c r="DT75" s="1056"/>
      <c r="DU75" s="1056"/>
      <c r="DV75" s="1056"/>
      <c r="DW75" s="1056"/>
      <c r="DX75" s="1056"/>
      <c r="DY75" s="1056"/>
      <c r="DZ75" s="1056"/>
      <c r="EA75" s="1056"/>
      <c r="EB75" s="1056"/>
      <c r="EC75" s="1056"/>
      <c r="ED75" s="1056"/>
      <c r="EE75" s="1056"/>
      <c r="EF75" s="1056"/>
      <c r="EG75" s="1056"/>
      <c r="EH75" s="1056"/>
      <c r="EI75" s="1056"/>
      <c r="EJ75" s="1056"/>
      <c r="EK75" s="1056"/>
      <c r="EL75" s="1056"/>
      <c r="EM75" s="1056"/>
      <c r="EN75" s="1056"/>
      <c r="EO75" s="1056"/>
    </row>
    <row r="76" spans="1:145" s="1287" customFormat="1" ht="18.75" customHeight="1" hidden="1">
      <c r="A76" s="1314" t="s">
        <v>65</v>
      </c>
      <c r="B76" s="1028">
        <v>62</v>
      </c>
      <c r="C76" s="645">
        <f>'Line Item Descriptions'!F77</f>
        <v>240</v>
      </c>
      <c r="D76" s="1218">
        <v>240</v>
      </c>
      <c r="E76" s="1214">
        <f>'Reference Data'!$B$2*'Reference Data'!$B$17</f>
        <v>1740</v>
      </c>
      <c r="F76" s="1219">
        <v>1750</v>
      </c>
      <c r="G76" s="1003">
        <f>(E76*C76)*0.05</f>
        <v>20880</v>
      </c>
      <c r="H76" s="1138">
        <v>21000</v>
      </c>
      <c r="I76" s="1003">
        <f>K76/E76</f>
        <v>12</v>
      </c>
      <c r="J76" s="1138">
        <v>12</v>
      </c>
      <c r="K76" s="1002">
        <f aca="true" t="shared" si="46" ref="K76:K82">P76/BudgetYears</f>
        <v>20880</v>
      </c>
      <c r="L76" s="1136">
        <v>21000</v>
      </c>
      <c r="M76" s="1002"/>
      <c r="N76" s="1014">
        <v>20</v>
      </c>
      <c r="O76" s="1015">
        <v>0</v>
      </c>
      <c r="P76" s="1006">
        <f>(C76*E76)*(BudgetYears/N76)</f>
        <v>125280</v>
      </c>
      <c r="Q76" s="1006">
        <f aca="true" t="shared" si="47" ref="Q76:Q82">(P76)-(O76*3)</f>
        <v>125280</v>
      </c>
      <c r="R76" s="1007" t="s">
        <v>34</v>
      </c>
      <c r="S76" s="1006">
        <f>IF($R76="S/L or L",$P76,0)</f>
        <v>0</v>
      </c>
      <c r="T76" s="1006">
        <f>IF($R76="L",$P76,0)</f>
        <v>0</v>
      </c>
      <c r="U76" s="1006">
        <f>IF($R76="S",$P76,0)</f>
        <v>0</v>
      </c>
      <c r="V76" s="1006">
        <f>IF($R76="F",$P76,0)</f>
        <v>125280</v>
      </c>
      <c r="W76" s="1006">
        <f aca="true" t="shared" si="48" ref="W76:W82">SUM(S76:V76)</f>
        <v>125280</v>
      </c>
      <c r="X76" s="1008" t="s">
        <v>135</v>
      </c>
      <c r="Y76" s="1006">
        <f>IF($R76="S/L or L",$K76,0)</f>
        <v>0</v>
      </c>
      <c r="Z76" s="1006">
        <f>IF($R76="L",$K76,0)</f>
        <v>0</v>
      </c>
      <c r="AA76" s="1006">
        <f>IF($R76="S",$K76,0)</f>
        <v>0</v>
      </c>
      <c r="AB76" s="1006">
        <f>IF($R76="F",$K76,0)</f>
        <v>20880</v>
      </c>
      <c r="AC76" s="1009">
        <f>SUM(Y76:AB76)</f>
        <v>20880</v>
      </c>
      <c r="AD76" s="1006">
        <f>IF($R76="S/L or L",$O76,0)</f>
        <v>0</v>
      </c>
      <c r="AE76" s="1006">
        <f>IF($R76="L",$O76,0)</f>
        <v>0</v>
      </c>
      <c r="AF76" s="1006">
        <f>IF($R76="S",$O76,0)</f>
        <v>0</v>
      </c>
      <c r="AG76" s="1006">
        <f>IF($R76="F",$O76,0)</f>
        <v>0</v>
      </c>
      <c r="AH76" s="1009">
        <f>SUM(AD76:AG76)</f>
        <v>0</v>
      </c>
      <c r="AJ76" s="1288"/>
      <c r="AK76" s="1288"/>
      <c r="AL76" s="1289"/>
      <c r="AM76" s="1289"/>
      <c r="AN76" s="1291"/>
      <c r="AQ76" s="1291"/>
      <c r="AR76" s="1289"/>
      <c r="AS76" s="1289"/>
      <c r="AT76" s="1289"/>
      <c r="AU76" s="1293"/>
      <c r="AY76" s="1279"/>
      <c r="AZ76" s="1279"/>
      <c r="BA76" s="1279"/>
      <c r="BB76" s="1279"/>
      <c r="BC76" s="1279"/>
      <c r="BD76" s="1279"/>
      <c r="BE76" s="1279"/>
      <c r="BF76" s="1279"/>
      <c r="BG76" s="1279"/>
      <c r="BH76" s="1279"/>
      <c r="BI76" s="1279"/>
      <c r="BJ76" s="1279"/>
      <c r="BK76" s="1279"/>
      <c r="BL76" s="1279"/>
      <c r="BM76" s="1279"/>
      <c r="BN76" s="1279"/>
      <c r="BO76" s="1279"/>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c r="DD76" s="1279"/>
      <c r="DE76" s="1279"/>
      <c r="DF76" s="1279"/>
      <c r="DG76" s="1279"/>
      <c r="DH76" s="1279"/>
      <c r="DI76" s="1279"/>
      <c r="DJ76" s="1279"/>
      <c r="DK76" s="1279"/>
      <c r="DL76" s="1279"/>
      <c r="DM76" s="1279"/>
      <c r="DN76" s="1279"/>
      <c r="DO76" s="1279"/>
      <c r="DP76" s="1279"/>
      <c r="DQ76" s="1279"/>
      <c r="DR76" s="1279"/>
      <c r="DS76" s="1279"/>
      <c r="DT76" s="1279"/>
      <c r="DU76" s="1279"/>
      <c r="DV76" s="1279"/>
      <c r="DW76" s="1279"/>
      <c r="DX76" s="1279"/>
      <c r="DY76" s="1279"/>
      <c r="DZ76" s="1279"/>
      <c r="EA76" s="1279"/>
      <c r="EB76" s="1279"/>
      <c r="EC76" s="1279"/>
      <c r="ED76" s="1279"/>
      <c r="EE76" s="1279"/>
      <c r="EF76" s="1279"/>
      <c r="EG76" s="1279"/>
      <c r="EH76" s="1279"/>
      <c r="EI76" s="1279"/>
      <c r="EJ76" s="1279"/>
      <c r="EK76" s="1279"/>
      <c r="EL76" s="1279"/>
      <c r="EM76" s="1279"/>
      <c r="EN76" s="1279"/>
      <c r="EO76" s="1279"/>
    </row>
    <row r="77" spans="1:145" ht="15" hidden="1">
      <c r="A77" s="1328" t="s">
        <v>66</v>
      </c>
      <c r="B77" s="1028">
        <v>62</v>
      </c>
      <c r="C77" s="645">
        <f>'Line Item Descriptions'!F78</f>
        <v>0</v>
      </c>
      <c r="D77" s="1218">
        <v>0</v>
      </c>
      <c r="E77" s="1001">
        <v>0</v>
      </c>
      <c r="F77" s="1219">
        <v>0</v>
      </c>
      <c r="G77" s="1003">
        <f>(E77*C77)*0.05</f>
        <v>0</v>
      </c>
      <c r="H77" s="1138">
        <v>0</v>
      </c>
      <c r="I77" s="1003">
        <v>0</v>
      </c>
      <c r="J77" s="1138">
        <v>0</v>
      </c>
      <c r="K77" s="1002">
        <f t="shared" si="46"/>
        <v>0</v>
      </c>
      <c r="L77" s="1136">
        <v>0</v>
      </c>
      <c r="M77" s="1002"/>
      <c r="N77" s="1014">
        <v>20</v>
      </c>
      <c r="O77" s="1015">
        <v>0</v>
      </c>
      <c r="P77" s="1006">
        <f>(C77*E77)*(BudgetYears/N77)</f>
        <v>0</v>
      </c>
      <c r="Q77" s="1006">
        <f t="shared" si="47"/>
        <v>0</v>
      </c>
      <c r="R77" s="1007" t="s">
        <v>34</v>
      </c>
      <c r="S77" s="1006">
        <f>IF($R77="S/L or L",$P77,0)</f>
        <v>0</v>
      </c>
      <c r="T77" s="1006">
        <f>IF($R77="L",$P77,0)</f>
        <v>0</v>
      </c>
      <c r="U77" s="1006">
        <f>IF($R77="S",$P77,0)</f>
        <v>0</v>
      </c>
      <c r="V77" s="1006">
        <f>IF($R77="F",$P77,0)</f>
        <v>0</v>
      </c>
      <c r="W77" s="1006">
        <f t="shared" si="48"/>
        <v>0</v>
      </c>
      <c r="X77" s="1008" t="s">
        <v>25</v>
      </c>
      <c r="Y77" s="1006">
        <f>IF($R77="S/L or L",$K77,0)</f>
        <v>0</v>
      </c>
      <c r="Z77" s="1006">
        <f>IF($R77="L",$K77,0)</f>
        <v>0</v>
      </c>
      <c r="AA77" s="1006">
        <f>IF($R77="S",$K77,0)</f>
        <v>0</v>
      </c>
      <c r="AB77" s="1006">
        <f>IF($R77="F",$K77,0)</f>
        <v>0</v>
      </c>
      <c r="AC77" s="1009">
        <f>SUM(Y77:AB77)</f>
        <v>0</v>
      </c>
      <c r="AD77" s="1006">
        <f>IF($R77="S/L or L",$O77,0)</f>
        <v>0</v>
      </c>
      <c r="AE77" s="1006">
        <f>IF($R77="L",$O77,0)</f>
        <v>0</v>
      </c>
      <c r="AF77" s="1006">
        <f>IF($R77="S",$O77,0)</f>
        <v>0</v>
      </c>
      <c r="AG77" s="1006">
        <f>IF($R77="F",$O77,0)</f>
        <v>0</v>
      </c>
      <c r="AH77" s="1009">
        <f>SUM(AD77:AG77)</f>
        <v>0</v>
      </c>
      <c r="AY77" s="1279"/>
      <c r="AZ77" s="1279"/>
      <c r="BA77" s="1279"/>
      <c r="BB77" s="1279"/>
      <c r="BC77" s="1279"/>
      <c r="BD77" s="1279"/>
      <c r="BE77" s="1279"/>
      <c r="BF77" s="1279"/>
      <c r="BG77" s="1279"/>
      <c r="BH77" s="1279"/>
      <c r="BI77" s="1279"/>
      <c r="BJ77" s="1279"/>
      <c r="BK77" s="1279"/>
      <c r="BL77" s="1279"/>
      <c r="BM77" s="1279"/>
      <c r="BN77" s="1279"/>
      <c r="BO77" s="1279"/>
      <c r="BP77" s="1279"/>
      <c r="BQ77" s="1279"/>
      <c r="BR77" s="1279"/>
      <c r="BS77" s="1279"/>
      <c r="BT77" s="1279"/>
      <c r="BU77" s="1279"/>
      <c r="BV77" s="1279"/>
      <c r="BW77" s="1279"/>
      <c r="BX77" s="1279"/>
      <c r="BY77" s="1279"/>
      <c r="BZ77" s="1279"/>
      <c r="CA77" s="1279"/>
      <c r="CB77" s="1279"/>
      <c r="CC77" s="1279"/>
      <c r="CD77" s="1279"/>
      <c r="CE77" s="1279"/>
      <c r="CF77" s="1279"/>
      <c r="CG77" s="1279"/>
      <c r="CH77" s="1279"/>
      <c r="CI77" s="1279"/>
      <c r="CJ77" s="1279"/>
      <c r="CK77" s="1279"/>
      <c r="CL77" s="1279"/>
      <c r="CM77" s="1279"/>
      <c r="CN77" s="1279"/>
      <c r="CO77" s="1279"/>
      <c r="CP77" s="1279"/>
      <c r="CQ77" s="1279"/>
      <c r="CR77" s="1279"/>
      <c r="CS77" s="1279"/>
      <c r="CT77" s="1279"/>
      <c r="CU77" s="1279"/>
      <c r="CV77" s="1279"/>
      <c r="CW77" s="1279"/>
      <c r="CX77" s="1279"/>
      <c r="CY77" s="1279"/>
      <c r="CZ77" s="1279"/>
      <c r="DA77" s="1279"/>
      <c r="DB77" s="1279"/>
      <c r="DC77" s="1279"/>
      <c r="DD77" s="1279"/>
      <c r="DE77" s="1279"/>
      <c r="DF77" s="1279"/>
      <c r="DG77" s="1279"/>
      <c r="DH77" s="1279"/>
      <c r="DI77" s="1279"/>
      <c r="DJ77" s="1279"/>
      <c r="DK77" s="1279"/>
      <c r="DL77" s="1279"/>
      <c r="DM77" s="1279"/>
      <c r="DN77" s="1279"/>
      <c r="DO77" s="1279"/>
      <c r="DP77" s="1279"/>
      <c r="DQ77" s="1279"/>
      <c r="DR77" s="1279"/>
      <c r="DS77" s="1279"/>
      <c r="DT77" s="1279"/>
      <c r="DU77" s="1279"/>
      <c r="DV77" s="1279"/>
      <c r="DW77" s="1279"/>
      <c r="DX77" s="1279"/>
      <c r="DY77" s="1279"/>
      <c r="DZ77" s="1279"/>
      <c r="EA77" s="1279"/>
      <c r="EB77" s="1279"/>
      <c r="EC77" s="1279"/>
      <c r="ED77" s="1279"/>
      <c r="EE77" s="1279"/>
      <c r="EF77" s="1279"/>
      <c r="EG77" s="1279"/>
      <c r="EH77" s="1279"/>
      <c r="EI77" s="1279"/>
      <c r="EJ77" s="1279"/>
      <c r="EK77" s="1279"/>
      <c r="EL77" s="1279"/>
      <c r="EM77" s="1279"/>
      <c r="EN77" s="1279"/>
      <c r="EO77" s="1279"/>
    </row>
    <row r="78" spans="1:145" s="1010" customFormat="1" ht="15" hidden="1">
      <c r="A78" s="1011"/>
      <c r="B78" s="1028"/>
      <c r="C78" s="645"/>
      <c r="D78" s="1218"/>
      <c r="E78" s="1001"/>
      <c r="F78" s="1219"/>
      <c r="G78" s="1003"/>
      <c r="H78" s="1138"/>
      <c r="I78" s="1003"/>
      <c r="J78" s="1138"/>
      <c r="K78" s="1002"/>
      <c r="L78" s="1136"/>
      <c r="M78" s="1002"/>
      <c r="N78" s="1014"/>
      <c r="O78" s="1015"/>
      <c r="P78" s="1006"/>
      <c r="Q78" s="1006"/>
      <c r="R78" s="1007"/>
      <c r="S78" s="1006"/>
      <c r="T78" s="1006"/>
      <c r="U78" s="1006"/>
      <c r="V78" s="1006"/>
      <c r="W78" s="1006"/>
      <c r="X78" s="1008"/>
      <c r="Y78" s="1006"/>
      <c r="Z78" s="1006"/>
      <c r="AA78" s="1006"/>
      <c r="AB78" s="1006"/>
      <c r="AC78" s="1009"/>
      <c r="AD78" s="1006"/>
      <c r="AE78" s="1006"/>
      <c r="AF78" s="1006"/>
      <c r="AG78" s="1006"/>
      <c r="AH78" s="1009"/>
      <c r="AJ78" s="1011"/>
      <c r="AK78" s="1011"/>
      <c r="AL78" s="863"/>
      <c r="AM78" s="863"/>
      <c r="AN78" s="1012"/>
      <c r="AQ78" s="1012"/>
      <c r="AR78" s="863"/>
      <c r="AS78" s="863"/>
      <c r="AT78" s="863"/>
      <c r="AU78" s="1007"/>
      <c r="AY78" s="994"/>
      <c r="AZ78" s="994"/>
      <c r="BA78" s="994"/>
      <c r="BB78" s="994"/>
      <c r="BC78" s="994"/>
      <c r="BD78" s="994"/>
      <c r="BE78" s="994"/>
      <c r="BF78" s="994"/>
      <c r="BG78" s="994"/>
      <c r="BH78" s="994"/>
      <c r="BI78" s="994"/>
      <c r="BJ78" s="994"/>
      <c r="BK78" s="994"/>
      <c r="BL78" s="994"/>
      <c r="BM78" s="994"/>
      <c r="BN78" s="994"/>
      <c r="BO78" s="994"/>
      <c r="BP78" s="994"/>
      <c r="BQ78" s="994"/>
      <c r="BR78" s="994"/>
      <c r="BS78" s="994"/>
      <c r="BT78" s="994"/>
      <c r="BU78" s="994"/>
      <c r="BV78" s="994"/>
      <c r="BW78" s="994"/>
      <c r="BX78" s="994"/>
      <c r="BY78" s="994"/>
      <c r="BZ78" s="994"/>
      <c r="CA78" s="994"/>
      <c r="CB78" s="994"/>
      <c r="CC78" s="994"/>
      <c r="CD78" s="994"/>
      <c r="CE78" s="994"/>
      <c r="CF78" s="994"/>
      <c r="CG78" s="994"/>
      <c r="CH78" s="994"/>
      <c r="CI78" s="994"/>
      <c r="CJ78" s="994"/>
      <c r="CK78" s="994"/>
      <c r="CL78" s="994"/>
      <c r="CM78" s="994"/>
      <c r="CN78" s="994"/>
      <c r="CO78" s="994"/>
      <c r="CP78" s="994"/>
      <c r="CQ78" s="994"/>
      <c r="CR78" s="994"/>
      <c r="CS78" s="994"/>
      <c r="CT78" s="994"/>
      <c r="CU78" s="994"/>
      <c r="CV78" s="994"/>
      <c r="CW78" s="994"/>
      <c r="CX78" s="994"/>
      <c r="CY78" s="994"/>
      <c r="CZ78" s="994"/>
      <c r="DA78" s="994"/>
      <c r="DB78" s="994"/>
      <c r="DC78" s="994"/>
      <c r="DD78" s="994"/>
      <c r="DE78" s="994"/>
      <c r="DF78" s="994"/>
      <c r="DG78" s="994"/>
      <c r="DH78" s="994"/>
      <c r="DI78" s="994"/>
      <c r="DJ78" s="994"/>
      <c r="DK78" s="994"/>
      <c r="DL78" s="994"/>
      <c r="DM78" s="994"/>
      <c r="DN78" s="994"/>
      <c r="DO78" s="994"/>
      <c r="DP78" s="994"/>
      <c r="DQ78" s="994"/>
      <c r="DR78" s="994"/>
      <c r="DS78" s="994"/>
      <c r="DT78" s="994"/>
      <c r="DU78" s="994"/>
      <c r="DV78" s="994"/>
      <c r="DW78" s="994"/>
      <c r="DX78" s="994"/>
      <c r="DY78" s="994"/>
      <c r="DZ78" s="994"/>
      <c r="EA78" s="994"/>
      <c r="EB78" s="994"/>
      <c r="EC78" s="994"/>
      <c r="ED78" s="994"/>
      <c r="EE78" s="994"/>
      <c r="EF78" s="994"/>
      <c r="EG78" s="994"/>
      <c r="EH78" s="994"/>
      <c r="EI78" s="994"/>
      <c r="EJ78" s="994"/>
      <c r="EK78" s="994"/>
      <c r="EL78" s="994"/>
      <c r="EM78" s="994"/>
      <c r="EN78" s="994"/>
      <c r="EO78" s="994"/>
    </row>
    <row r="79" spans="1:145" ht="15" hidden="1">
      <c r="A79" s="1011"/>
      <c r="B79" s="1028"/>
      <c r="C79" s="645"/>
      <c r="D79" s="1218"/>
      <c r="F79" s="1219"/>
      <c r="H79" s="1138"/>
      <c r="I79" s="1003"/>
      <c r="J79" s="1138"/>
      <c r="K79" s="1002"/>
      <c r="L79" s="1136"/>
      <c r="M79" s="1002"/>
      <c r="N79" s="1014"/>
      <c r="O79" s="1015"/>
      <c r="P79" s="1006"/>
      <c r="Q79" s="1006"/>
      <c r="R79" s="1007"/>
      <c r="S79" s="1006"/>
      <c r="T79" s="1006"/>
      <c r="U79" s="1006"/>
      <c r="V79" s="1006"/>
      <c r="W79" s="1006"/>
      <c r="X79" s="1008"/>
      <c r="Y79" s="1006"/>
      <c r="Z79" s="1006"/>
      <c r="AA79" s="1006"/>
      <c r="AB79" s="1006"/>
      <c r="AC79" s="1009"/>
      <c r="AD79" s="1006"/>
      <c r="AE79" s="1006"/>
      <c r="AF79" s="1006"/>
      <c r="AG79" s="1006"/>
      <c r="AH79" s="1009"/>
      <c r="AY79" s="1279"/>
      <c r="AZ79" s="1279"/>
      <c r="BA79" s="1279"/>
      <c r="BB79" s="1279"/>
      <c r="BC79" s="1279"/>
      <c r="BD79" s="1279"/>
      <c r="BE79" s="1279"/>
      <c r="BF79" s="1279"/>
      <c r="BG79" s="1279"/>
      <c r="BH79" s="1279"/>
      <c r="BI79" s="1279"/>
      <c r="BJ79" s="1279"/>
      <c r="BK79" s="1279"/>
      <c r="BL79" s="1279"/>
      <c r="BM79" s="1279"/>
      <c r="BN79" s="1279"/>
      <c r="BO79" s="1279"/>
      <c r="BP79" s="1279"/>
      <c r="BQ79" s="1279"/>
      <c r="BR79" s="1279"/>
      <c r="BS79" s="1279"/>
      <c r="BT79" s="1279"/>
      <c r="BU79" s="1279"/>
      <c r="BV79" s="1279"/>
      <c r="BW79" s="1279"/>
      <c r="BX79" s="1279"/>
      <c r="BY79" s="1279"/>
      <c r="BZ79" s="1279"/>
      <c r="CA79" s="1279"/>
      <c r="CB79" s="1279"/>
      <c r="CC79" s="1279"/>
      <c r="CD79" s="1279"/>
      <c r="CE79" s="1279"/>
      <c r="CF79" s="1279"/>
      <c r="CG79" s="1279"/>
      <c r="CH79" s="1279"/>
      <c r="CI79" s="1279"/>
      <c r="CJ79" s="1279"/>
      <c r="CK79" s="1279"/>
      <c r="CL79" s="1279"/>
      <c r="CM79" s="1279"/>
      <c r="CN79" s="1279"/>
      <c r="CO79" s="1279"/>
      <c r="CP79" s="1279"/>
      <c r="CQ79" s="1279"/>
      <c r="CR79" s="1279"/>
      <c r="CS79" s="1279"/>
      <c r="CT79" s="1279"/>
      <c r="CU79" s="1279"/>
      <c r="CV79" s="1279"/>
      <c r="CW79" s="1279"/>
      <c r="CX79" s="1279"/>
      <c r="CY79" s="1279"/>
      <c r="CZ79" s="1279"/>
      <c r="DA79" s="1279"/>
      <c r="DB79" s="1279"/>
      <c r="DC79" s="1279"/>
      <c r="DD79" s="1279"/>
      <c r="DE79" s="1279"/>
      <c r="DF79" s="1279"/>
      <c r="DG79" s="1279"/>
      <c r="DH79" s="1279"/>
      <c r="DI79" s="1279"/>
      <c r="DJ79" s="1279"/>
      <c r="DK79" s="1279"/>
      <c r="DL79" s="1279"/>
      <c r="DM79" s="1279"/>
      <c r="DN79" s="1279"/>
      <c r="DO79" s="1279"/>
      <c r="DP79" s="1279"/>
      <c r="DQ79" s="1279"/>
      <c r="DR79" s="1279"/>
      <c r="DS79" s="1279"/>
      <c r="DT79" s="1279"/>
      <c r="DU79" s="1279"/>
      <c r="DV79" s="1279"/>
      <c r="DW79" s="1279"/>
      <c r="DX79" s="1279"/>
      <c r="DY79" s="1279"/>
      <c r="DZ79" s="1279"/>
      <c r="EA79" s="1279"/>
      <c r="EB79" s="1279"/>
      <c r="EC79" s="1279"/>
      <c r="ED79" s="1279"/>
      <c r="EE79" s="1279"/>
      <c r="EF79" s="1279"/>
      <c r="EG79" s="1279"/>
      <c r="EH79" s="1279"/>
      <c r="EI79" s="1279"/>
      <c r="EJ79" s="1279"/>
      <c r="EK79" s="1279"/>
      <c r="EL79" s="1279"/>
      <c r="EM79" s="1279"/>
      <c r="EN79" s="1279"/>
      <c r="EO79" s="1279"/>
    </row>
    <row r="80" spans="1:145" ht="15" hidden="1">
      <c r="A80" s="1314" t="s">
        <v>876</v>
      </c>
      <c r="B80" s="1028">
        <v>62</v>
      </c>
      <c r="C80" s="645">
        <f>'Line Item Descriptions'!F81</f>
        <v>240</v>
      </c>
      <c r="D80" s="1218">
        <v>240</v>
      </c>
      <c r="E80" s="1214">
        <f>'Reference Data'!$B$2*'Reference Data'!$B$17</f>
        <v>1740</v>
      </c>
      <c r="F80" s="1219">
        <v>1750</v>
      </c>
      <c r="H80" s="1138"/>
      <c r="I80" s="1003"/>
      <c r="J80" s="1138"/>
      <c r="K80" s="1002">
        <f>SUM(C80*E80)/N80</f>
        <v>20880</v>
      </c>
      <c r="L80" s="1136">
        <v>21000</v>
      </c>
      <c r="M80" s="1002"/>
      <c r="N80" s="1014">
        <v>20</v>
      </c>
      <c r="O80" s="1015"/>
      <c r="P80" s="1006"/>
      <c r="Q80" s="1006"/>
      <c r="R80" s="1007" t="s">
        <v>34</v>
      </c>
      <c r="S80" s="1006"/>
      <c r="T80" s="1006"/>
      <c r="U80" s="1006"/>
      <c r="V80" s="1006"/>
      <c r="W80" s="1006"/>
      <c r="X80" s="1008"/>
      <c r="Y80" s="1006"/>
      <c r="Z80" s="1006"/>
      <c r="AA80" s="1006"/>
      <c r="AB80" s="1006"/>
      <c r="AC80" s="1009"/>
      <c r="AD80" s="1006"/>
      <c r="AE80" s="1006"/>
      <c r="AF80" s="1006"/>
      <c r="AG80" s="1006"/>
      <c r="AH80" s="1009"/>
      <c r="AY80" s="1279"/>
      <c r="AZ80" s="1279"/>
      <c r="BA80" s="1279"/>
      <c r="BB80" s="1279"/>
      <c r="BC80" s="1279"/>
      <c r="BD80" s="1279"/>
      <c r="BE80" s="1279"/>
      <c r="BF80" s="1279"/>
      <c r="BG80" s="1279"/>
      <c r="BH80" s="1279"/>
      <c r="BI80" s="1279"/>
      <c r="BJ80" s="1279"/>
      <c r="BK80" s="1279"/>
      <c r="BL80" s="1279"/>
      <c r="BM80" s="1279"/>
      <c r="BN80" s="1279"/>
      <c r="BO80" s="1279"/>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c r="DD80" s="1279"/>
      <c r="DE80" s="1279"/>
      <c r="DF80" s="1279"/>
      <c r="DG80" s="1279"/>
      <c r="DH80" s="1279"/>
      <c r="DI80" s="1279"/>
      <c r="DJ80" s="1279"/>
      <c r="DK80" s="1279"/>
      <c r="DL80" s="1279"/>
      <c r="DM80" s="1279"/>
      <c r="DN80" s="1279"/>
      <c r="DO80" s="1279"/>
      <c r="DP80" s="1279"/>
      <c r="DQ80" s="1279"/>
      <c r="DR80" s="1279"/>
      <c r="DS80" s="1279"/>
      <c r="DT80" s="1279"/>
      <c r="DU80" s="1279"/>
      <c r="DV80" s="1279"/>
      <c r="DW80" s="1279"/>
      <c r="DX80" s="1279"/>
      <c r="DY80" s="1279"/>
      <c r="DZ80" s="1279"/>
      <c r="EA80" s="1279"/>
      <c r="EB80" s="1279"/>
      <c r="EC80" s="1279"/>
      <c r="ED80" s="1279"/>
      <c r="EE80" s="1279"/>
      <c r="EF80" s="1279"/>
      <c r="EG80" s="1279"/>
      <c r="EH80" s="1279"/>
      <c r="EI80" s="1279"/>
      <c r="EJ80" s="1279"/>
      <c r="EK80" s="1279"/>
      <c r="EL80" s="1279"/>
      <c r="EM80" s="1279"/>
      <c r="EN80" s="1279"/>
      <c r="EO80" s="1279"/>
    </row>
    <row r="81" spans="1:145" ht="15">
      <c r="A81" s="1011" t="s">
        <v>1313</v>
      </c>
      <c r="B81" s="1028"/>
      <c r="C81" s="645">
        <f>'Line Item Descriptions'!F81</f>
        <v>240</v>
      </c>
      <c r="D81" s="1218"/>
      <c r="E81" s="1001">
        <f>E80+E76</f>
        <v>3480</v>
      </c>
      <c r="F81" s="1219"/>
      <c r="G81" s="1003">
        <f>(E81*C81)*0.05</f>
        <v>41760</v>
      </c>
      <c r="H81" s="1138"/>
      <c r="I81" s="1003">
        <f>K81/E81</f>
        <v>12</v>
      </c>
      <c r="J81" s="1138"/>
      <c r="K81" s="1002">
        <f>K80+K76</f>
        <v>41760</v>
      </c>
      <c r="L81" s="1136"/>
      <c r="M81" s="1002"/>
      <c r="N81" s="1014">
        <v>20</v>
      </c>
      <c r="O81" s="1015">
        <f>SUM(O76:O80)</f>
        <v>0</v>
      </c>
      <c r="P81" s="1006">
        <f>SUM(P76:P80)</f>
        <v>125280</v>
      </c>
      <c r="Q81" s="1006">
        <f>SUM(Q76:Q80)</f>
        <v>125280</v>
      </c>
      <c r="R81" s="1007" t="s">
        <v>34</v>
      </c>
      <c r="S81" s="1006"/>
      <c r="T81" s="1006"/>
      <c r="U81" s="1006"/>
      <c r="V81" s="1006"/>
      <c r="W81" s="1006"/>
      <c r="X81" s="1008"/>
      <c r="Y81" s="1006"/>
      <c r="Z81" s="1006"/>
      <c r="AA81" s="1006"/>
      <c r="AB81" s="1006"/>
      <c r="AC81" s="1009"/>
      <c r="AD81" s="1006"/>
      <c r="AE81" s="1006"/>
      <c r="AF81" s="1006"/>
      <c r="AG81" s="1006"/>
      <c r="AH81" s="1009"/>
      <c r="AY81" s="1279"/>
      <c r="AZ81" s="1279"/>
      <c r="BA81" s="1279"/>
      <c r="BB81" s="1279"/>
      <c r="BC81" s="1279"/>
      <c r="BD81" s="1279"/>
      <c r="BE81" s="1279"/>
      <c r="BF81" s="1279"/>
      <c r="BG81" s="1279"/>
      <c r="BH81" s="1279"/>
      <c r="BI81" s="1279"/>
      <c r="BJ81" s="1279"/>
      <c r="BK81" s="1279"/>
      <c r="BL81" s="1279"/>
      <c r="BM81" s="1279"/>
      <c r="BN81" s="1279"/>
      <c r="BO81" s="1279"/>
      <c r="BP81" s="1279"/>
      <c r="BQ81" s="1279"/>
      <c r="BR81" s="1279"/>
      <c r="BS81" s="1279"/>
      <c r="BT81" s="1279"/>
      <c r="BU81" s="1279"/>
      <c r="BV81" s="1279"/>
      <c r="BW81" s="1279"/>
      <c r="BX81" s="1279"/>
      <c r="BY81" s="1279"/>
      <c r="BZ81" s="1279"/>
      <c r="CA81" s="1279"/>
      <c r="CB81" s="1279"/>
      <c r="CC81" s="1279"/>
      <c r="CD81" s="1279"/>
      <c r="CE81" s="1279"/>
      <c r="CF81" s="1279"/>
      <c r="CG81" s="1279"/>
      <c r="CH81" s="1279"/>
      <c r="CI81" s="1279"/>
      <c r="CJ81" s="1279"/>
      <c r="CK81" s="1279"/>
      <c r="CL81" s="1279"/>
      <c r="CM81" s="1279"/>
      <c r="CN81" s="1279"/>
      <c r="CO81" s="1279"/>
      <c r="CP81" s="1279"/>
      <c r="CQ81" s="1279"/>
      <c r="CR81" s="1279"/>
      <c r="CS81" s="1279"/>
      <c r="CT81" s="1279"/>
      <c r="CU81" s="1279"/>
      <c r="CV81" s="1279"/>
      <c r="CW81" s="1279"/>
      <c r="CX81" s="1279"/>
      <c r="CY81" s="1279"/>
      <c r="CZ81" s="1279"/>
      <c r="DA81" s="1279"/>
      <c r="DB81" s="1279"/>
      <c r="DC81" s="1279"/>
      <c r="DD81" s="1279"/>
      <c r="DE81" s="1279"/>
      <c r="DF81" s="1279"/>
      <c r="DG81" s="1279"/>
      <c r="DH81" s="1279"/>
      <c r="DI81" s="1279"/>
      <c r="DJ81" s="1279"/>
      <c r="DK81" s="1279"/>
      <c r="DL81" s="1279"/>
      <c r="DM81" s="1279"/>
      <c r="DN81" s="1279"/>
      <c r="DO81" s="1279"/>
      <c r="DP81" s="1279"/>
      <c r="DQ81" s="1279"/>
      <c r="DR81" s="1279"/>
      <c r="DS81" s="1279"/>
      <c r="DT81" s="1279"/>
      <c r="DU81" s="1279"/>
      <c r="DV81" s="1279"/>
      <c r="DW81" s="1279"/>
      <c r="DX81" s="1279"/>
      <c r="DY81" s="1279"/>
      <c r="DZ81" s="1279"/>
      <c r="EA81" s="1279"/>
      <c r="EB81" s="1279"/>
      <c r="EC81" s="1279"/>
      <c r="ED81" s="1279"/>
      <c r="EE81" s="1279"/>
      <c r="EF81" s="1279"/>
      <c r="EG81" s="1279"/>
      <c r="EH81" s="1279"/>
      <c r="EI81" s="1279"/>
      <c r="EJ81" s="1279"/>
      <c r="EK81" s="1279"/>
      <c r="EL81" s="1279"/>
      <c r="EM81" s="1279"/>
      <c r="EN81" s="1279"/>
      <c r="EO81" s="1279"/>
    </row>
    <row r="82" spans="1:145" ht="15">
      <c r="A82" s="1011" t="s">
        <v>877</v>
      </c>
      <c r="B82" s="1028">
        <v>62</v>
      </c>
      <c r="C82" s="645">
        <f>'Line Item Descriptions'!F82</f>
        <v>70</v>
      </c>
      <c r="D82" s="1218">
        <v>70</v>
      </c>
      <c r="E82" s="1001">
        <f>E81</f>
        <v>3480</v>
      </c>
      <c r="F82" s="1219">
        <v>1750</v>
      </c>
      <c r="G82" s="1003">
        <f>(E82*C82)*0.05</f>
        <v>12180</v>
      </c>
      <c r="H82" s="1138">
        <v>6125</v>
      </c>
      <c r="I82" s="1003">
        <f>K82/E82</f>
        <v>7</v>
      </c>
      <c r="J82" s="1138">
        <v>7</v>
      </c>
      <c r="K82" s="1002">
        <f t="shared" si="46"/>
        <v>24360</v>
      </c>
      <c r="L82" s="1136">
        <v>12250</v>
      </c>
      <c r="M82" s="1002"/>
      <c r="N82" s="1014">
        <v>10</v>
      </c>
      <c r="O82" s="1015">
        <v>0</v>
      </c>
      <c r="P82" s="1006">
        <f>(C82*E82)*(BudgetYears/N82)</f>
        <v>146160</v>
      </c>
      <c r="Q82" s="1006">
        <f t="shared" si="47"/>
        <v>146160</v>
      </c>
      <c r="R82" s="1007" t="s">
        <v>1913</v>
      </c>
      <c r="S82" s="1006">
        <f>IF($R82="S/L or L",$P82,0)</f>
        <v>0</v>
      </c>
      <c r="T82" s="1006">
        <f>IF($R82="L",$P82,0)</f>
        <v>0</v>
      </c>
      <c r="U82" s="1006">
        <f>IF($R82="S",$P82,0)</f>
        <v>0</v>
      </c>
      <c r="V82" s="1006">
        <f>IF($R82="F",$P82,0)</f>
        <v>0</v>
      </c>
      <c r="W82" s="1006">
        <f t="shared" si="48"/>
        <v>0</v>
      </c>
      <c r="X82" s="1008" t="s">
        <v>25</v>
      </c>
      <c r="Y82" s="1006">
        <f>IF($R82="S/L or L",$K82,0)</f>
        <v>0</v>
      </c>
      <c r="Z82" s="1006">
        <f>IF($R82="L",$K82,0)</f>
        <v>0</v>
      </c>
      <c r="AA82" s="1006">
        <f>IF($R82="S",$K82,0)</f>
        <v>0</v>
      </c>
      <c r="AB82" s="1006">
        <f>IF($R82="F",$K82,0)</f>
        <v>0</v>
      </c>
      <c r="AC82" s="1009">
        <f>SUM(Y82:AB82)</f>
        <v>0</v>
      </c>
      <c r="AD82" s="1006">
        <f>IF($R82="S/L or L",$O82,0)</f>
        <v>0</v>
      </c>
      <c r="AE82" s="1006">
        <f>IF($R82="L",$O82,0)</f>
        <v>0</v>
      </c>
      <c r="AF82" s="1006">
        <f>IF($R82="S",$O82,0)</f>
        <v>0</v>
      </c>
      <c r="AG82" s="1006">
        <f>IF($R82="F",$O82,0)</f>
        <v>0</v>
      </c>
      <c r="AH82" s="1009">
        <f>SUM(AD82:AG82)</f>
        <v>0</v>
      </c>
      <c r="AY82" s="1279"/>
      <c r="AZ82" s="1279"/>
      <c r="BA82" s="1279"/>
      <c r="BB82" s="1279"/>
      <c r="BC82" s="1279"/>
      <c r="BD82" s="1279"/>
      <c r="BE82" s="1279"/>
      <c r="BF82" s="1279"/>
      <c r="BG82" s="1279"/>
      <c r="BH82" s="1279"/>
      <c r="BI82" s="1279"/>
      <c r="BJ82" s="1279"/>
      <c r="BK82" s="1279"/>
      <c r="BL82" s="1279"/>
      <c r="BM82" s="1279"/>
      <c r="BN82" s="1279"/>
      <c r="BO82" s="1279"/>
      <c r="BP82" s="1279"/>
      <c r="BQ82" s="1279"/>
      <c r="BR82" s="1279"/>
      <c r="BS82" s="1279"/>
      <c r="BT82" s="1279"/>
      <c r="BU82" s="1279"/>
      <c r="BV82" s="1279"/>
      <c r="BW82" s="1279"/>
      <c r="BX82" s="1279"/>
      <c r="BY82" s="1279"/>
      <c r="BZ82" s="1279"/>
      <c r="CA82" s="1279"/>
      <c r="CB82" s="1279"/>
      <c r="CC82" s="1279"/>
      <c r="CD82" s="1279"/>
      <c r="CE82" s="1279"/>
      <c r="CF82" s="1279"/>
      <c r="CG82" s="1279"/>
      <c r="CH82" s="1279"/>
      <c r="CI82" s="1279"/>
      <c r="CJ82" s="1279"/>
      <c r="CK82" s="1279"/>
      <c r="CL82" s="1279"/>
      <c r="CM82" s="1279"/>
      <c r="CN82" s="1279"/>
      <c r="CO82" s="1279"/>
      <c r="CP82" s="1279"/>
      <c r="CQ82" s="1279"/>
      <c r="CR82" s="1279"/>
      <c r="CS82" s="1279"/>
      <c r="CT82" s="1279"/>
      <c r="CU82" s="1279"/>
      <c r="CV82" s="1279"/>
      <c r="CW82" s="1279"/>
      <c r="CX82" s="1279"/>
      <c r="CY82" s="1279"/>
      <c r="CZ82" s="1279"/>
      <c r="DA82" s="1279"/>
      <c r="DB82" s="1279"/>
      <c r="DC82" s="1279"/>
      <c r="DD82" s="1279"/>
      <c r="DE82" s="1279"/>
      <c r="DF82" s="1279"/>
      <c r="DG82" s="1279"/>
      <c r="DH82" s="1279"/>
      <c r="DI82" s="1279"/>
      <c r="DJ82" s="1279"/>
      <c r="DK82" s="1279"/>
      <c r="DL82" s="1279"/>
      <c r="DM82" s="1279"/>
      <c r="DN82" s="1279"/>
      <c r="DO82" s="1279"/>
      <c r="DP82" s="1279"/>
      <c r="DQ82" s="1279"/>
      <c r="DR82" s="1279"/>
      <c r="DS82" s="1279"/>
      <c r="DT82" s="1279"/>
      <c r="DU82" s="1279"/>
      <c r="DV82" s="1279"/>
      <c r="DW82" s="1279"/>
      <c r="DX82" s="1279"/>
      <c r="DY82" s="1279"/>
      <c r="DZ82" s="1279"/>
      <c r="EA82" s="1279"/>
      <c r="EB82" s="1279"/>
      <c r="EC82" s="1279"/>
      <c r="ED82" s="1279"/>
      <c r="EE82" s="1279"/>
      <c r="EF82" s="1279"/>
      <c r="EG82" s="1279"/>
      <c r="EH82" s="1279"/>
      <c r="EI82" s="1279"/>
      <c r="EJ82" s="1279"/>
      <c r="EK82" s="1279"/>
      <c r="EL82" s="1279"/>
      <c r="EM82" s="1279"/>
      <c r="EN82" s="1279"/>
      <c r="EO82" s="1279"/>
    </row>
    <row r="83" spans="1:145" s="1010" customFormat="1" ht="15">
      <c r="A83" s="1011"/>
      <c r="B83" s="1028"/>
      <c r="C83" s="645"/>
      <c r="D83" s="1218"/>
      <c r="E83" s="1001"/>
      <c r="F83" s="1219"/>
      <c r="G83" s="1003"/>
      <c r="H83" s="1138"/>
      <c r="I83" s="1003"/>
      <c r="J83" s="1138"/>
      <c r="K83" s="1002"/>
      <c r="L83" s="1136"/>
      <c r="M83" s="1002"/>
      <c r="N83" s="1014"/>
      <c r="O83" s="1015"/>
      <c r="P83" s="1006"/>
      <c r="Q83" s="1006"/>
      <c r="R83" s="1007"/>
      <c r="S83" s="1006"/>
      <c r="T83" s="1006"/>
      <c r="U83" s="1006"/>
      <c r="V83" s="1006"/>
      <c r="W83" s="1006"/>
      <c r="X83" s="1008"/>
      <c r="Y83" s="1006"/>
      <c r="Z83" s="1006"/>
      <c r="AA83" s="1006"/>
      <c r="AB83" s="1006"/>
      <c r="AC83" s="1009"/>
      <c r="AD83" s="1006"/>
      <c r="AE83" s="1006"/>
      <c r="AF83" s="1006"/>
      <c r="AG83" s="1006"/>
      <c r="AH83" s="1009"/>
      <c r="AJ83" s="1011"/>
      <c r="AK83" s="1011"/>
      <c r="AL83" s="863"/>
      <c r="AM83" s="863"/>
      <c r="AN83" s="1012"/>
      <c r="AQ83" s="1012"/>
      <c r="AR83" s="863"/>
      <c r="AS83" s="863"/>
      <c r="AT83" s="863"/>
      <c r="AU83" s="1007"/>
      <c r="AY83" s="994"/>
      <c r="AZ83" s="994"/>
      <c r="BA83" s="994"/>
      <c r="BB83" s="994"/>
      <c r="BC83" s="994"/>
      <c r="BD83" s="994"/>
      <c r="BE83" s="994"/>
      <c r="BF83" s="994"/>
      <c r="BG83" s="994"/>
      <c r="BH83" s="994"/>
      <c r="BI83" s="994"/>
      <c r="BJ83" s="994"/>
      <c r="BK83" s="994"/>
      <c r="BL83" s="994"/>
      <c r="BM83" s="994"/>
      <c r="BN83" s="994"/>
      <c r="BO83" s="994"/>
      <c r="BP83" s="994"/>
      <c r="BQ83" s="994"/>
      <c r="BR83" s="994"/>
      <c r="BS83" s="994"/>
      <c r="BT83" s="994"/>
      <c r="BU83" s="994"/>
      <c r="BV83" s="994"/>
      <c r="BW83" s="994"/>
      <c r="BX83" s="994"/>
      <c r="BY83" s="994"/>
      <c r="BZ83" s="994"/>
      <c r="CA83" s="994"/>
      <c r="CB83" s="994"/>
      <c r="CC83" s="994"/>
      <c r="CD83" s="994"/>
      <c r="CE83" s="994"/>
      <c r="CF83" s="994"/>
      <c r="CG83" s="994"/>
      <c r="CH83" s="994"/>
      <c r="CI83" s="994"/>
      <c r="CJ83" s="994"/>
      <c r="CK83" s="994"/>
      <c r="CL83" s="994"/>
      <c r="CM83" s="994"/>
      <c r="CN83" s="994"/>
      <c r="CO83" s="994"/>
      <c r="CP83" s="994"/>
      <c r="CQ83" s="994"/>
      <c r="CR83" s="994"/>
      <c r="CS83" s="994"/>
      <c r="CT83" s="994"/>
      <c r="CU83" s="994"/>
      <c r="CV83" s="994"/>
      <c r="CW83" s="994"/>
      <c r="CX83" s="994"/>
      <c r="CY83" s="994"/>
      <c r="CZ83" s="994"/>
      <c r="DA83" s="994"/>
      <c r="DB83" s="994"/>
      <c r="DC83" s="994"/>
      <c r="DD83" s="994"/>
      <c r="DE83" s="994"/>
      <c r="DF83" s="994"/>
      <c r="DG83" s="994"/>
      <c r="DH83" s="994"/>
      <c r="DI83" s="994"/>
      <c r="DJ83" s="994"/>
      <c r="DK83" s="994"/>
      <c r="DL83" s="994"/>
      <c r="DM83" s="994"/>
      <c r="DN83" s="994"/>
      <c r="DO83" s="994"/>
      <c r="DP83" s="994"/>
      <c r="DQ83" s="994"/>
      <c r="DR83" s="994"/>
      <c r="DS83" s="994"/>
      <c r="DT83" s="994"/>
      <c r="DU83" s="994"/>
      <c r="DV83" s="994"/>
      <c r="DW83" s="994"/>
      <c r="DX83" s="994"/>
      <c r="DY83" s="994"/>
      <c r="DZ83" s="994"/>
      <c r="EA83" s="994"/>
      <c r="EB83" s="994"/>
      <c r="EC83" s="994"/>
      <c r="ED83" s="994"/>
      <c r="EE83" s="994"/>
      <c r="EF83" s="994"/>
      <c r="EG83" s="994"/>
      <c r="EH83" s="994"/>
      <c r="EI83" s="994"/>
      <c r="EJ83" s="994"/>
      <c r="EK83" s="994"/>
      <c r="EL83" s="994"/>
      <c r="EM83" s="994"/>
      <c r="EN83" s="994"/>
      <c r="EO83" s="994"/>
    </row>
    <row r="84" spans="1:145" s="1010" customFormat="1" ht="15">
      <c r="A84" s="1011"/>
      <c r="B84" s="1028"/>
      <c r="C84" s="645"/>
      <c r="D84" s="1218"/>
      <c r="E84" s="1001"/>
      <c r="F84" s="1219"/>
      <c r="G84" s="1003"/>
      <c r="H84" s="1138"/>
      <c r="I84" s="1003"/>
      <c r="J84" s="1138"/>
      <c r="K84" s="1002"/>
      <c r="L84" s="1136"/>
      <c r="M84" s="1002"/>
      <c r="N84" s="1014"/>
      <c r="O84" s="1015"/>
      <c r="P84" s="1006"/>
      <c r="Q84" s="1006"/>
      <c r="R84" s="1007"/>
      <c r="S84" s="1006"/>
      <c r="T84" s="1006"/>
      <c r="U84" s="1006"/>
      <c r="V84" s="1006"/>
      <c r="W84" s="1006"/>
      <c r="X84" s="1008"/>
      <c r="Y84" s="1006"/>
      <c r="Z84" s="1006"/>
      <c r="AA84" s="1006"/>
      <c r="AB84" s="1006"/>
      <c r="AC84" s="1009"/>
      <c r="AD84" s="1006"/>
      <c r="AE84" s="1006"/>
      <c r="AF84" s="1006"/>
      <c r="AG84" s="1006"/>
      <c r="AH84" s="1009"/>
      <c r="AJ84" s="1011"/>
      <c r="AK84" s="1011"/>
      <c r="AL84" s="863"/>
      <c r="AM84" s="863"/>
      <c r="AN84" s="1012"/>
      <c r="AQ84" s="1012"/>
      <c r="AR84" s="863"/>
      <c r="AS84" s="863"/>
      <c r="AT84" s="863"/>
      <c r="AU84" s="1007"/>
      <c r="AY84" s="994"/>
      <c r="AZ84" s="994"/>
      <c r="BA84" s="994"/>
      <c r="BB84" s="994"/>
      <c r="BC84" s="994"/>
      <c r="BD84" s="994"/>
      <c r="BE84" s="994"/>
      <c r="BF84" s="994"/>
      <c r="BG84" s="994"/>
      <c r="BH84" s="994"/>
      <c r="BI84" s="994"/>
      <c r="BJ84" s="994"/>
      <c r="BK84" s="994"/>
      <c r="BL84" s="994"/>
      <c r="BM84" s="994"/>
      <c r="BN84" s="994"/>
      <c r="BO84" s="994"/>
      <c r="BP84" s="994"/>
      <c r="BQ84" s="994"/>
      <c r="BR84" s="994"/>
      <c r="BS84" s="994"/>
      <c r="BT84" s="994"/>
      <c r="BU84" s="994"/>
      <c r="BV84" s="994"/>
      <c r="BW84" s="994"/>
      <c r="BX84" s="994"/>
      <c r="BY84" s="994"/>
      <c r="BZ84" s="994"/>
      <c r="CA84" s="994"/>
      <c r="CB84" s="994"/>
      <c r="CC84" s="994"/>
      <c r="CD84" s="994"/>
      <c r="CE84" s="994"/>
      <c r="CF84" s="994"/>
      <c r="CG84" s="994"/>
      <c r="CH84" s="994"/>
      <c r="CI84" s="994"/>
      <c r="CJ84" s="994"/>
      <c r="CK84" s="994"/>
      <c r="CL84" s="994"/>
      <c r="CM84" s="994"/>
      <c r="CN84" s="994"/>
      <c r="CO84" s="994"/>
      <c r="CP84" s="994"/>
      <c r="CQ84" s="994"/>
      <c r="CR84" s="994"/>
      <c r="CS84" s="994"/>
      <c r="CT84" s="994"/>
      <c r="CU84" s="994"/>
      <c r="CV84" s="994"/>
      <c r="CW84" s="994"/>
      <c r="CX84" s="994"/>
      <c r="CY84" s="994"/>
      <c r="CZ84" s="994"/>
      <c r="DA84" s="994"/>
      <c r="DB84" s="994"/>
      <c r="DC84" s="994"/>
      <c r="DD84" s="994"/>
      <c r="DE84" s="994"/>
      <c r="DF84" s="994"/>
      <c r="DG84" s="994"/>
      <c r="DH84" s="994"/>
      <c r="DI84" s="994"/>
      <c r="DJ84" s="994"/>
      <c r="DK84" s="994"/>
      <c r="DL84" s="994"/>
      <c r="DM84" s="994"/>
      <c r="DN84" s="994"/>
      <c r="DO84" s="994"/>
      <c r="DP84" s="994"/>
      <c r="DQ84" s="994"/>
      <c r="DR84" s="994"/>
      <c r="DS84" s="994"/>
      <c r="DT84" s="994"/>
      <c r="DU84" s="994"/>
      <c r="DV84" s="994"/>
      <c r="DW84" s="994"/>
      <c r="DX84" s="994"/>
      <c r="DY84" s="994"/>
      <c r="DZ84" s="994"/>
      <c r="EA84" s="994"/>
      <c r="EB84" s="994"/>
      <c r="EC84" s="994"/>
      <c r="ED84" s="994"/>
      <c r="EE84" s="994"/>
      <c r="EF84" s="994"/>
      <c r="EG84" s="994"/>
      <c r="EH84" s="994"/>
      <c r="EI84" s="994"/>
      <c r="EJ84" s="994"/>
      <c r="EK84" s="994"/>
      <c r="EL84" s="994"/>
      <c r="EM84" s="994"/>
      <c r="EN84" s="994"/>
      <c r="EO84" s="994"/>
    </row>
    <row r="85" spans="1:145" s="1010" customFormat="1" ht="15">
      <c r="A85" s="1011"/>
      <c r="B85" s="1028"/>
      <c r="C85" s="645"/>
      <c r="D85" s="1218"/>
      <c r="E85" s="1001"/>
      <c r="F85" s="1219"/>
      <c r="G85" s="1003"/>
      <c r="H85" s="1138"/>
      <c r="I85" s="1003"/>
      <c r="J85" s="1138"/>
      <c r="K85" s="1002"/>
      <c r="L85" s="1136"/>
      <c r="M85" s="1002"/>
      <c r="N85" s="1014"/>
      <c r="O85" s="1015"/>
      <c r="P85" s="1006"/>
      <c r="Q85" s="1006"/>
      <c r="R85" s="1007"/>
      <c r="S85" s="1006"/>
      <c r="T85" s="1006"/>
      <c r="U85" s="1006"/>
      <c r="V85" s="1006"/>
      <c r="W85" s="1006"/>
      <c r="X85" s="1008"/>
      <c r="Y85" s="1006"/>
      <c r="Z85" s="1006"/>
      <c r="AA85" s="1006"/>
      <c r="AB85" s="1006"/>
      <c r="AC85" s="1009"/>
      <c r="AD85" s="1006"/>
      <c r="AE85" s="1006"/>
      <c r="AF85" s="1006"/>
      <c r="AG85" s="1006"/>
      <c r="AH85" s="1009"/>
      <c r="AJ85" s="1011"/>
      <c r="AK85" s="1011"/>
      <c r="AL85" s="863"/>
      <c r="AM85" s="863"/>
      <c r="AN85" s="1012"/>
      <c r="AQ85" s="1012"/>
      <c r="AR85" s="863"/>
      <c r="AS85" s="863"/>
      <c r="AT85" s="863"/>
      <c r="AU85" s="1007"/>
      <c r="AY85" s="994"/>
      <c r="AZ85" s="994"/>
      <c r="BA85" s="994"/>
      <c r="BB85" s="994"/>
      <c r="BC85" s="994"/>
      <c r="BD85" s="994"/>
      <c r="BE85" s="994"/>
      <c r="BF85" s="994"/>
      <c r="BG85" s="994"/>
      <c r="BH85" s="994"/>
      <c r="BI85" s="994"/>
      <c r="BJ85" s="994"/>
      <c r="BK85" s="994"/>
      <c r="BL85" s="994"/>
      <c r="BM85" s="994"/>
      <c r="BN85" s="994"/>
      <c r="BO85" s="994"/>
      <c r="BP85" s="994"/>
      <c r="BQ85" s="994"/>
      <c r="BR85" s="994"/>
      <c r="BS85" s="994"/>
      <c r="BT85" s="994"/>
      <c r="BU85" s="994"/>
      <c r="BV85" s="994"/>
      <c r="BW85" s="994"/>
      <c r="BX85" s="994"/>
      <c r="BY85" s="994"/>
      <c r="BZ85" s="994"/>
      <c r="CA85" s="994"/>
      <c r="CB85" s="994"/>
      <c r="CC85" s="994"/>
      <c r="CD85" s="994"/>
      <c r="CE85" s="994"/>
      <c r="CF85" s="994"/>
      <c r="CG85" s="994"/>
      <c r="CH85" s="994"/>
      <c r="CI85" s="994"/>
      <c r="CJ85" s="994"/>
      <c r="CK85" s="994"/>
      <c r="CL85" s="994"/>
      <c r="CM85" s="994"/>
      <c r="CN85" s="994"/>
      <c r="CO85" s="994"/>
      <c r="CP85" s="994"/>
      <c r="CQ85" s="994"/>
      <c r="CR85" s="994"/>
      <c r="CS85" s="994"/>
      <c r="CT85" s="994"/>
      <c r="CU85" s="994"/>
      <c r="CV85" s="994"/>
      <c r="CW85" s="994"/>
      <c r="CX85" s="994"/>
      <c r="CY85" s="994"/>
      <c r="CZ85" s="994"/>
      <c r="DA85" s="994"/>
      <c r="DB85" s="994"/>
      <c r="DC85" s="994"/>
      <c r="DD85" s="994"/>
      <c r="DE85" s="994"/>
      <c r="DF85" s="994"/>
      <c r="DG85" s="994"/>
      <c r="DH85" s="994"/>
      <c r="DI85" s="994"/>
      <c r="DJ85" s="994"/>
      <c r="DK85" s="994"/>
      <c r="DL85" s="994"/>
      <c r="DM85" s="994"/>
      <c r="DN85" s="994"/>
      <c r="DO85" s="994"/>
      <c r="DP85" s="994"/>
      <c r="DQ85" s="994"/>
      <c r="DR85" s="994"/>
      <c r="DS85" s="994"/>
      <c r="DT85" s="994"/>
      <c r="DU85" s="994"/>
      <c r="DV85" s="994"/>
      <c r="DW85" s="994"/>
      <c r="DX85" s="994"/>
      <c r="DY85" s="994"/>
      <c r="DZ85" s="994"/>
      <c r="EA85" s="994"/>
      <c r="EB85" s="994"/>
      <c r="EC85" s="994"/>
      <c r="ED85" s="994"/>
      <c r="EE85" s="994"/>
      <c r="EF85" s="994"/>
      <c r="EG85" s="994"/>
      <c r="EH85" s="994"/>
      <c r="EI85" s="994"/>
      <c r="EJ85" s="994"/>
      <c r="EK85" s="994"/>
      <c r="EL85" s="994"/>
      <c r="EM85" s="994"/>
      <c r="EN85" s="994"/>
      <c r="EO85" s="994"/>
    </row>
    <row r="86" spans="1:145" s="1010" customFormat="1" ht="15">
      <c r="A86" s="1011"/>
      <c r="B86" s="1028"/>
      <c r="C86" s="645"/>
      <c r="D86" s="1218"/>
      <c r="E86" s="1001"/>
      <c r="F86" s="1219"/>
      <c r="G86" s="1003"/>
      <c r="H86" s="1138"/>
      <c r="I86" s="1003"/>
      <c r="J86" s="1138"/>
      <c r="K86" s="1002"/>
      <c r="L86" s="1136"/>
      <c r="M86" s="1002"/>
      <c r="N86" s="1014"/>
      <c r="O86" s="1015"/>
      <c r="P86" s="1006"/>
      <c r="Q86" s="1006"/>
      <c r="R86" s="1007"/>
      <c r="S86" s="1006"/>
      <c r="T86" s="1006"/>
      <c r="U86" s="1006"/>
      <c r="V86" s="1006"/>
      <c r="W86" s="1006"/>
      <c r="X86" s="1008"/>
      <c r="Y86" s="1006"/>
      <c r="Z86" s="1006"/>
      <c r="AA86" s="1006"/>
      <c r="AB86" s="1006"/>
      <c r="AC86" s="1009"/>
      <c r="AD86" s="1006"/>
      <c r="AE86" s="1006"/>
      <c r="AF86" s="1006"/>
      <c r="AG86" s="1006"/>
      <c r="AH86" s="1009"/>
      <c r="AJ86" s="1011"/>
      <c r="AK86" s="1011"/>
      <c r="AL86" s="863"/>
      <c r="AM86" s="863"/>
      <c r="AN86" s="1012"/>
      <c r="AQ86" s="1012"/>
      <c r="AR86" s="863"/>
      <c r="AS86" s="863"/>
      <c r="AT86" s="863"/>
      <c r="AU86" s="1007"/>
      <c r="AY86" s="994"/>
      <c r="AZ86" s="994"/>
      <c r="BA86" s="994"/>
      <c r="BB86" s="994"/>
      <c r="BC86" s="994"/>
      <c r="BD86" s="994"/>
      <c r="BE86" s="994"/>
      <c r="BF86" s="994"/>
      <c r="BG86" s="994"/>
      <c r="BH86" s="994"/>
      <c r="BI86" s="994"/>
      <c r="BJ86" s="994"/>
      <c r="BK86" s="994"/>
      <c r="BL86" s="994"/>
      <c r="BM86" s="994"/>
      <c r="BN86" s="994"/>
      <c r="BO86" s="994"/>
      <c r="BP86" s="994"/>
      <c r="BQ86" s="994"/>
      <c r="BR86" s="994"/>
      <c r="BS86" s="994"/>
      <c r="BT86" s="994"/>
      <c r="BU86" s="994"/>
      <c r="BV86" s="994"/>
      <c r="BW86" s="994"/>
      <c r="BX86" s="994"/>
      <c r="BY86" s="994"/>
      <c r="BZ86" s="994"/>
      <c r="CA86" s="994"/>
      <c r="CB86" s="994"/>
      <c r="CC86" s="994"/>
      <c r="CD86" s="994"/>
      <c r="CE86" s="994"/>
      <c r="CF86" s="994"/>
      <c r="CG86" s="994"/>
      <c r="CH86" s="994"/>
      <c r="CI86" s="994"/>
      <c r="CJ86" s="994"/>
      <c r="CK86" s="994"/>
      <c r="CL86" s="994"/>
      <c r="CM86" s="994"/>
      <c r="CN86" s="994"/>
      <c r="CO86" s="994"/>
      <c r="CP86" s="994"/>
      <c r="CQ86" s="994"/>
      <c r="CR86" s="994"/>
      <c r="CS86" s="994"/>
      <c r="CT86" s="994"/>
      <c r="CU86" s="994"/>
      <c r="CV86" s="994"/>
      <c r="CW86" s="994"/>
      <c r="CX86" s="994"/>
      <c r="CY86" s="994"/>
      <c r="CZ86" s="994"/>
      <c r="DA86" s="994"/>
      <c r="DB86" s="994"/>
      <c r="DC86" s="994"/>
      <c r="DD86" s="994"/>
      <c r="DE86" s="994"/>
      <c r="DF86" s="994"/>
      <c r="DG86" s="994"/>
      <c r="DH86" s="994"/>
      <c r="DI86" s="994"/>
      <c r="DJ86" s="994"/>
      <c r="DK86" s="994"/>
      <c r="DL86" s="994"/>
      <c r="DM86" s="994"/>
      <c r="DN86" s="994"/>
      <c r="DO86" s="994"/>
      <c r="DP86" s="994"/>
      <c r="DQ86" s="994"/>
      <c r="DR86" s="994"/>
      <c r="DS86" s="994"/>
      <c r="DT86" s="994"/>
      <c r="DU86" s="994"/>
      <c r="DV86" s="994"/>
      <c r="DW86" s="994"/>
      <c r="DX86" s="994"/>
      <c r="DY86" s="994"/>
      <c r="DZ86" s="994"/>
      <c r="EA86" s="994"/>
      <c r="EB86" s="994"/>
      <c r="EC86" s="994"/>
      <c r="ED86" s="994"/>
      <c r="EE86" s="994"/>
      <c r="EF86" s="994"/>
      <c r="EG86" s="994"/>
      <c r="EH86" s="994"/>
      <c r="EI86" s="994"/>
      <c r="EJ86" s="994"/>
      <c r="EK86" s="994"/>
      <c r="EL86" s="994"/>
      <c r="EM86" s="994"/>
      <c r="EN86" s="994"/>
      <c r="EO86" s="994"/>
    </row>
    <row r="87" spans="1:145" s="1010" customFormat="1" ht="15">
      <c r="A87" s="1011"/>
      <c r="B87" s="1028"/>
      <c r="C87" s="645"/>
      <c r="D87" s="1218"/>
      <c r="E87" s="1001"/>
      <c r="F87" s="1219"/>
      <c r="G87" s="1003"/>
      <c r="H87" s="1138"/>
      <c r="I87" s="1003"/>
      <c r="J87" s="1138"/>
      <c r="K87" s="1002"/>
      <c r="L87" s="1136"/>
      <c r="M87" s="1002"/>
      <c r="N87" s="1014"/>
      <c r="O87" s="1015"/>
      <c r="P87" s="1006"/>
      <c r="Q87" s="1006"/>
      <c r="R87" s="1007"/>
      <c r="S87" s="1006"/>
      <c r="T87" s="1006"/>
      <c r="U87" s="1006"/>
      <c r="V87" s="1006"/>
      <c r="W87" s="1006"/>
      <c r="X87" s="1008"/>
      <c r="Y87" s="1006"/>
      <c r="Z87" s="1006"/>
      <c r="AA87" s="1006"/>
      <c r="AB87" s="1006"/>
      <c r="AC87" s="1009"/>
      <c r="AD87" s="1006"/>
      <c r="AE87" s="1006"/>
      <c r="AF87" s="1006"/>
      <c r="AG87" s="1006"/>
      <c r="AH87" s="1009"/>
      <c r="AJ87" s="1011"/>
      <c r="AK87" s="1011"/>
      <c r="AL87" s="863"/>
      <c r="AM87" s="863"/>
      <c r="AN87" s="1012"/>
      <c r="AQ87" s="1012"/>
      <c r="AR87" s="863"/>
      <c r="AS87" s="863"/>
      <c r="AT87" s="863"/>
      <c r="AU87" s="1007"/>
      <c r="AY87" s="994"/>
      <c r="AZ87" s="994"/>
      <c r="BA87" s="994"/>
      <c r="BB87" s="994"/>
      <c r="BC87" s="994"/>
      <c r="BD87" s="994"/>
      <c r="BE87" s="994"/>
      <c r="BF87" s="994"/>
      <c r="BG87" s="994"/>
      <c r="BH87" s="994"/>
      <c r="BI87" s="994"/>
      <c r="BJ87" s="994"/>
      <c r="BK87" s="994"/>
      <c r="BL87" s="994"/>
      <c r="BM87" s="994"/>
      <c r="BN87" s="994"/>
      <c r="BO87" s="994"/>
      <c r="BP87" s="994"/>
      <c r="BQ87" s="994"/>
      <c r="BR87" s="994"/>
      <c r="BS87" s="994"/>
      <c r="BT87" s="994"/>
      <c r="BU87" s="994"/>
      <c r="BV87" s="994"/>
      <c r="BW87" s="994"/>
      <c r="BX87" s="994"/>
      <c r="BY87" s="994"/>
      <c r="BZ87" s="994"/>
      <c r="CA87" s="994"/>
      <c r="CB87" s="994"/>
      <c r="CC87" s="994"/>
      <c r="CD87" s="994"/>
      <c r="CE87" s="994"/>
      <c r="CF87" s="994"/>
      <c r="CG87" s="994"/>
      <c r="CH87" s="994"/>
      <c r="CI87" s="994"/>
      <c r="CJ87" s="994"/>
      <c r="CK87" s="994"/>
      <c r="CL87" s="994"/>
      <c r="CM87" s="994"/>
      <c r="CN87" s="994"/>
      <c r="CO87" s="994"/>
      <c r="CP87" s="994"/>
      <c r="CQ87" s="994"/>
      <c r="CR87" s="994"/>
      <c r="CS87" s="994"/>
      <c r="CT87" s="994"/>
      <c r="CU87" s="994"/>
      <c r="CV87" s="994"/>
      <c r="CW87" s="994"/>
      <c r="CX87" s="994"/>
      <c r="CY87" s="994"/>
      <c r="CZ87" s="994"/>
      <c r="DA87" s="994"/>
      <c r="DB87" s="994"/>
      <c r="DC87" s="994"/>
      <c r="DD87" s="994"/>
      <c r="DE87" s="994"/>
      <c r="DF87" s="994"/>
      <c r="DG87" s="994"/>
      <c r="DH87" s="994"/>
      <c r="DI87" s="994"/>
      <c r="DJ87" s="994"/>
      <c r="DK87" s="994"/>
      <c r="DL87" s="994"/>
      <c r="DM87" s="994"/>
      <c r="DN87" s="994"/>
      <c r="DO87" s="994"/>
      <c r="DP87" s="994"/>
      <c r="DQ87" s="994"/>
      <c r="DR87" s="994"/>
      <c r="DS87" s="994"/>
      <c r="DT87" s="994"/>
      <c r="DU87" s="994"/>
      <c r="DV87" s="994"/>
      <c r="DW87" s="994"/>
      <c r="DX87" s="994"/>
      <c r="DY87" s="994"/>
      <c r="DZ87" s="994"/>
      <c r="EA87" s="994"/>
      <c r="EB87" s="994"/>
      <c r="EC87" s="994"/>
      <c r="ED87" s="994"/>
      <c r="EE87" s="994"/>
      <c r="EF87" s="994"/>
      <c r="EG87" s="994"/>
      <c r="EH87" s="994"/>
      <c r="EI87" s="994"/>
      <c r="EJ87" s="994"/>
      <c r="EK87" s="994"/>
      <c r="EL87" s="994"/>
      <c r="EM87" s="994"/>
      <c r="EN87" s="994"/>
      <c r="EO87" s="994"/>
    </row>
    <row r="88" spans="1:145" ht="30.75" hidden="1">
      <c r="A88" s="1011" t="s">
        <v>882</v>
      </c>
      <c r="B88" s="1028">
        <v>50</v>
      </c>
      <c r="C88" s="645">
        <f>'Line Item Descriptions'!F88</f>
        <v>2000</v>
      </c>
      <c r="D88" s="1218">
        <v>2000</v>
      </c>
      <c r="E88" s="1001">
        <v>206</v>
      </c>
      <c r="F88" s="1219">
        <v>206</v>
      </c>
      <c r="G88" s="1047"/>
      <c r="H88" s="1170"/>
      <c r="I88" s="1003"/>
      <c r="J88" s="1138"/>
      <c r="K88" s="1002">
        <f>SUM(C88*E88)/N88</f>
        <v>41200</v>
      </c>
      <c r="L88" s="1136">
        <v>41200</v>
      </c>
      <c r="M88" s="1002">
        <f>'TAR Numbers'!BL10+'TAR Numbers'!BM10</f>
        <v>12172.5</v>
      </c>
      <c r="N88" s="1014">
        <v>10</v>
      </c>
      <c r="O88" s="1015"/>
      <c r="P88" s="1006"/>
      <c r="Q88" s="1006"/>
      <c r="R88" s="1007"/>
      <c r="S88" s="1006"/>
      <c r="T88" s="1006"/>
      <c r="U88" s="1006"/>
      <c r="V88" s="1006"/>
      <c r="W88" s="1006"/>
      <c r="X88" s="1016"/>
      <c r="Y88" s="1006"/>
      <c r="Z88" s="1006"/>
      <c r="AA88" s="1006"/>
      <c r="AB88" s="1006"/>
      <c r="AC88" s="1009"/>
      <c r="AD88" s="1006"/>
      <c r="AE88" s="1006"/>
      <c r="AF88" s="1006"/>
      <c r="AG88" s="1006"/>
      <c r="AH88" s="1009"/>
      <c r="AY88" s="1279"/>
      <c r="AZ88" s="1279"/>
      <c r="BA88" s="1279"/>
      <c r="BB88" s="1279"/>
      <c r="BC88" s="1279"/>
      <c r="BD88" s="1279"/>
      <c r="BE88" s="1279"/>
      <c r="BF88" s="1279"/>
      <c r="BG88" s="1279"/>
      <c r="BH88" s="1279"/>
      <c r="BI88" s="1279"/>
      <c r="BJ88" s="1279"/>
      <c r="BK88" s="1279"/>
      <c r="BL88" s="1279"/>
      <c r="BM88" s="1279"/>
      <c r="BN88" s="1279"/>
      <c r="BO88" s="1279"/>
      <c r="BP88" s="1279"/>
      <c r="BQ88" s="1279"/>
      <c r="BR88" s="1279"/>
      <c r="BS88" s="1279"/>
      <c r="BT88" s="1279"/>
      <c r="BU88" s="1279"/>
      <c r="BV88" s="1279"/>
      <c r="BW88" s="1279"/>
      <c r="BX88" s="1279"/>
      <c r="BY88" s="1279"/>
      <c r="BZ88" s="1279"/>
      <c r="CA88" s="1279"/>
      <c r="CB88" s="1279"/>
      <c r="CC88" s="1279"/>
      <c r="CD88" s="1279"/>
      <c r="CE88" s="1279"/>
      <c r="CF88" s="1279"/>
      <c r="CG88" s="1279"/>
      <c r="CH88" s="1279"/>
      <c r="CI88" s="1279"/>
      <c r="CJ88" s="1279"/>
      <c r="CK88" s="1279"/>
      <c r="CL88" s="1279"/>
      <c r="CM88" s="1279"/>
      <c r="CN88" s="1279"/>
      <c r="CO88" s="1279"/>
      <c r="CP88" s="1279"/>
      <c r="CQ88" s="1279"/>
      <c r="CR88" s="1279"/>
      <c r="CS88" s="1279"/>
      <c r="CT88" s="1279"/>
      <c r="CU88" s="1279"/>
      <c r="CV88" s="1279"/>
      <c r="CW88" s="1279"/>
      <c r="CX88" s="1279"/>
      <c r="CY88" s="1279"/>
      <c r="CZ88" s="1279"/>
      <c r="DA88" s="1279"/>
      <c r="DB88" s="1279"/>
      <c r="DC88" s="1279"/>
      <c r="DD88" s="1279"/>
      <c r="DE88" s="1279"/>
      <c r="DF88" s="1279"/>
      <c r="DG88" s="1279"/>
      <c r="DH88" s="1279"/>
      <c r="DI88" s="1279"/>
      <c r="DJ88" s="1279"/>
      <c r="DK88" s="1279"/>
      <c r="DL88" s="1279"/>
      <c r="DM88" s="1279"/>
      <c r="DN88" s="1279"/>
      <c r="DO88" s="1279"/>
      <c r="DP88" s="1279"/>
      <c r="DQ88" s="1279"/>
      <c r="DR88" s="1279"/>
      <c r="DS88" s="1279"/>
      <c r="DT88" s="1279"/>
      <c r="DU88" s="1279"/>
      <c r="DV88" s="1279"/>
      <c r="DW88" s="1279"/>
      <c r="DX88" s="1279"/>
      <c r="DY88" s="1279"/>
      <c r="DZ88" s="1279"/>
      <c r="EA88" s="1279"/>
      <c r="EB88" s="1279"/>
      <c r="EC88" s="1279"/>
      <c r="ED88" s="1279"/>
      <c r="EE88" s="1279"/>
      <c r="EF88" s="1279"/>
      <c r="EG88" s="1279"/>
      <c r="EH88" s="1279"/>
      <c r="EI88" s="1279"/>
      <c r="EJ88" s="1279"/>
      <c r="EK88" s="1279"/>
      <c r="EL88" s="1279"/>
      <c r="EM88" s="1279"/>
      <c r="EN88" s="1279"/>
      <c r="EO88" s="1279"/>
    </row>
    <row r="89" spans="1:145" ht="15" hidden="1">
      <c r="A89" s="1253" t="s">
        <v>865</v>
      </c>
      <c r="C89" s="1316"/>
      <c r="D89" s="1155"/>
      <c r="E89" s="1317"/>
      <c r="F89" s="1318"/>
      <c r="G89" s="1047"/>
      <c r="H89" s="1170"/>
      <c r="J89" s="1319"/>
      <c r="K89" s="1235"/>
      <c r="L89" s="1309"/>
      <c r="M89" s="1235"/>
      <c r="N89" s="1320"/>
      <c r="O89" s="1321"/>
      <c r="X89" s="1323"/>
      <c r="Y89" s="1322"/>
      <c r="Z89" s="1322"/>
      <c r="AA89" s="1322"/>
      <c r="AB89" s="1322"/>
      <c r="AC89" s="1049"/>
      <c r="AD89" s="1322"/>
      <c r="AE89" s="1322"/>
      <c r="AF89" s="1322"/>
      <c r="AG89" s="1322"/>
      <c r="AH89" s="1049"/>
      <c r="AY89" s="1279"/>
      <c r="AZ89" s="1279"/>
      <c r="BA89" s="1279"/>
      <c r="BB89" s="1279"/>
      <c r="BC89" s="1279"/>
      <c r="BD89" s="1279"/>
      <c r="BE89" s="1279"/>
      <c r="BF89" s="1279"/>
      <c r="BG89" s="1279"/>
      <c r="BH89" s="1279"/>
      <c r="BI89" s="1279"/>
      <c r="BJ89" s="1279"/>
      <c r="BK89" s="1279"/>
      <c r="BL89" s="1279"/>
      <c r="BM89" s="1279"/>
      <c r="BN89" s="1279"/>
      <c r="BO89" s="1279"/>
      <c r="BP89" s="1279"/>
      <c r="BQ89" s="1279"/>
      <c r="BR89" s="1279"/>
      <c r="BS89" s="1279"/>
      <c r="BT89" s="1279"/>
      <c r="BU89" s="1279"/>
      <c r="BV89" s="1279"/>
      <c r="BW89" s="1279"/>
      <c r="BX89" s="1279"/>
      <c r="BY89" s="1279"/>
      <c r="BZ89" s="1279"/>
      <c r="CA89" s="1279"/>
      <c r="CB89" s="1279"/>
      <c r="CC89" s="1279"/>
      <c r="CD89" s="1279"/>
      <c r="CE89" s="1279"/>
      <c r="CF89" s="1279"/>
      <c r="CG89" s="1279"/>
      <c r="CH89" s="1279"/>
      <c r="CI89" s="1279"/>
      <c r="CJ89" s="1279"/>
      <c r="CK89" s="1279"/>
      <c r="CL89" s="1279"/>
      <c r="CM89" s="1279"/>
      <c r="CN89" s="1279"/>
      <c r="CO89" s="1279"/>
      <c r="CP89" s="1279"/>
      <c r="CQ89" s="1279"/>
      <c r="CR89" s="1279"/>
      <c r="CS89" s="1279"/>
      <c r="CT89" s="1279"/>
      <c r="CU89" s="1279"/>
      <c r="CV89" s="1279"/>
      <c r="CW89" s="1279"/>
      <c r="CX89" s="1279"/>
      <c r="CY89" s="1279"/>
      <c r="CZ89" s="1279"/>
      <c r="DA89" s="1279"/>
      <c r="DB89" s="1279"/>
      <c r="DC89" s="1279"/>
      <c r="DD89" s="1279"/>
      <c r="DE89" s="1279"/>
      <c r="DF89" s="1279"/>
      <c r="DG89" s="1279"/>
      <c r="DH89" s="1279"/>
      <c r="DI89" s="1279"/>
      <c r="DJ89" s="1279"/>
      <c r="DK89" s="1279"/>
      <c r="DL89" s="1279"/>
      <c r="DM89" s="1279"/>
      <c r="DN89" s="1279"/>
      <c r="DO89" s="1279"/>
      <c r="DP89" s="1279"/>
      <c r="DQ89" s="1279"/>
      <c r="DR89" s="1279"/>
      <c r="DS89" s="1279"/>
      <c r="DT89" s="1279"/>
      <c r="DU89" s="1279"/>
      <c r="DV89" s="1279"/>
      <c r="DW89" s="1279"/>
      <c r="DX89" s="1279"/>
      <c r="DY89" s="1279"/>
      <c r="DZ89" s="1279"/>
      <c r="EA89" s="1279"/>
      <c r="EB89" s="1279"/>
      <c r="EC89" s="1279"/>
      <c r="ED89" s="1279"/>
      <c r="EE89" s="1279"/>
      <c r="EF89" s="1279"/>
      <c r="EG89" s="1279"/>
      <c r="EH89" s="1279"/>
      <c r="EI89" s="1279"/>
      <c r="EJ89" s="1279"/>
      <c r="EK89" s="1279"/>
      <c r="EL89" s="1279"/>
      <c r="EM89" s="1279"/>
      <c r="EN89" s="1279"/>
      <c r="EO89" s="1279"/>
    </row>
    <row r="90" spans="1:145" s="1010" customFormat="1" ht="15" hidden="1">
      <c r="A90" s="1011"/>
      <c r="B90" s="1028"/>
      <c r="C90" s="645"/>
      <c r="D90" s="1218"/>
      <c r="E90" s="1001"/>
      <c r="F90" s="1219"/>
      <c r="G90" s="1047"/>
      <c r="H90" s="1170"/>
      <c r="I90" s="1003"/>
      <c r="J90" s="1138"/>
      <c r="K90" s="1002"/>
      <c r="L90" s="1136"/>
      <c r="M90" s="1002"/>
      <c r="N90" s="1014"/>
      <c r="O90" s="1015"/>
      <c r="P90" s="1006"/>
      <c r="Q90" s="1006"/>
      <c r="R90" s="1007"/>
      <c r="S90" s="1006"/>
      <c r="T90" s="1006"/>
      <c r="U90" s="1006"/>
      <c r="V90" s="1006"/>
      <c r="W90" s="1006"/>
      <c r="X90" s="1016"/>
      <c r="Y90" s="1006"/>
      <c r="Z90" s="1006"/>
      <c r="AA90" s="1006"/>
      <c r="AB90" s="1006"/>
      <c r="AC90" s="1009"/>
      <c r="AD90" s="1006"/>
      <c r="AE90" s="1006"/>
      <c r="AF90" s="1006"/>
      <c r="AG90" s="1006"/>
      <c r="AH90" s="1009"/>
      <c r="AJ90" s="1011"/>
      <c r="AK90" s="1011"/>
      <c r="AL90" s="863"/>
      <c r="AM90" s="863"/>
      <c r="AN90" s="1012"/>
      <c r="AQ90" s="1012"/>
      <c r="AR90" s="863"/>
      <c r="AS90" s="863"/>
      <c r="AT90" s="863"/>
      <c r="AU90" s="1007"/>
      <c r="AY90" s="994"/>
      <c r="AZ90" s="994"/>
      <c r="BA90" s="994"/>
      <c r="BB90" s="994"/>
      <c r="BC90" s="994"/>
      <c r="BD90" s="994"/>
      <c r="BE90" s="994"/>
      <c r="BF90" s="994"/>
      <c r="BG90" s="994"/>
      <c r="BH90" s="994"/>
      <c r="BI90" s="994"/>
      <c r="BJ90" s="994"/>
      <c r="BK90" s="994"/>
      <c r="BL90" s="994"/>
      <c r="BM90" s="994"/>
      <c r="BN90" s="994"/>
      <c r="BO90" s="994"/>
      <c r="BP90" s="994"/>
      <c r="BQ90" s="994"/>
      <c r="BR90" s="994"/>
      <c r="BS90" s="994"/>
      <c r="BT90" s="994"/>
      <c r="BU90" s="994"/>
      <c r="BV90" s="994"/>
      <c r="BW90" s="994"/>
      <c r="BX90" s="994"/>
      <c r="BY90" s="994"/>
      <c r="BZ90" s="994"/>
      <c r="CA90" s="994"/>
      <c r="CB90" s="994"/>
      <c r="CC90" s="994"/>
      <c r="CD90" s="994"/>
      <c r="CE90" s="994"/>
      <c r="CF90" s="994"/>
      <c r="CG90" s="994"/>
      <c r="CH90" s="994"/>
      <c r="CI90" s="994"/>
      <c r="CJ90" s="994"/>
      <c r="CK90" s="994"/>
      <c r="CL90" s="994"/>
      <c r="CM90" s="994"/>
      <c r="CN90" s="994"/>
      <c r="CO90" s="994"/>
      <c r="CP90" s="994"/>
      <c r="CQ90" s="994"/>
      <c r="CR90" s="994"/>
      <c r="CS90" s="994"/>
      <c r="CT90" s="994"/>
      <c r="CU90" s="994"/>
      <c r="CV90" s="994"/>
      <c r="CW90" s="994"/>
      <c r="CX90" s="994"/>
      <c r="CY90" s="994"/>
      <c r="CZ90" s="994"/>
      <c r="DA90" s="994"/>
      <c r="DB90" s="994"/>
      <c r="DC90" s="994"/>
      <c r="DD90" s="994"/>
      <c r="DE90" s="994"/>
      <c r="DF90" s="994"/>
      <c r="DG90" s="994"/>
      <c r="DH90" s="994"/>
      <c r="DI90" s="994"/>
      <c r="DJ90" s="994"/>
      <c r="DK90" s="994"/>
      <c r="DL90" s="994"/>
      <c r="DM90" s="994"/>
      <c r="DN90" s="994"/>
      <c r="DO90" s="994"/>
      <c r="DP90" s="994"/>
      <c r="DQ90" s="994"/>
      <c r="DR90" s="994"/>
      <c r="DS90" s="994"/>
      <c r="DT90" s="994"/>
      <c r="DU90" s="994"/>
      <c r="DV90" s="994"/>
      <c r="DW90" s="994"/>
      <c r="DX90" s="994"/>
      <c r="DY90" s="994"/>
      <c r="DZ90" s="994"/>
      <c r="EA90" s="994"/>
      <c r="EB90" s="994"/>
      <c r="EC90" s="994"/>
      <c r="ED90" s="994"/>
      <c r="EE90" s="994"/>
      <c r="EF90" s="994"/>
      <c r="EG90" s="994"/>
      <c r="EH90" s="994"/>
      <c r="EI90" s="994"/>
      <c r="EJ90" s="994"/>
      <c r="EK90" s="994"/>
      <c r="EL90" s="994"/>
      <c r="EM90" s="994"/>
      <c r="EN90" s="994"/>
      <c r="EO90" s="994"/>
    </row>
    <row r="91" spans="1:145" ht="30.75" hidden="1">
      <c r="A91" s="1011" t="s">
        <v>883</v>
      </c>
      <c r="B91" s="1028">
        <v>50</v>
      </c>
      <c r="C91" s="645">
        <f>'Line Item Descriptions'!F91</f>
        <v>500</v>
      </c>
      <c r="D91" s="1218">
        <v>500</v>
      </c>
      <c r="E91" s="1001">
        <v>892</v>
      </c>
      <c r="F91" s="1219">
        <v>892</v>
      </c>
      <c r="G91" s="1047"/>
      <c r="H91" s="1170"/>
      <c r="I91" s="1003"/>
      <c r="J91" s="1138"/>
      <c r="K91" s="1002">
        <f>SUM(C91*E91)/N91</f>
        <v>44600</v>
      </c>
      <c r="L91" s="1136">
        <v>44600</v>
      </c>
      <c r="M91" s="1002">
        <f>'TAR Numbers'!BN10+'TAR Numbers'!BO10</f>
        <v>368583.12</v>
      </c>
      <c r="N91" s="1014">
        <v>10</v>
      </c>
      <c r="O91" s="1015"/>
      <c r="P91" s="1006"/>
      <c r="Q91" s="1006"/>
      <c r="R91" s="1007"/>
      <c r="S91" s="1006"/>
      <c r="T91" s="1006"/>
      <c r="U91" s="1006"/>
      <c r="V91" s="1006"/>
      <c r="W91" s="1006"/>
      <c r="X91" s="1016"/>
      <c r="Y91" s="1006"/>
      <c r="Z91" s="1006"/>
      <c r="AA91" s="1006"/>
      <c r="AB91" s="1006"/>
      <c r="AC91" s="1009"/>
      <c r="AD91" s="1006"/>
      <c r="AE91" s="1006"/>
      <c r="AF91" s="1006"/>
      <c r="AG91" s="1006"/>
      <c r="AH91" s="1009"/>
      <c r="AJ91" s="1052"/>
      <c r="AR91" s="863"/>
      <c r="AY91" s="1279"/>
      <c r="AZ91" s="1279"/>
      <c r="BA91" s="1279"/>
      <c r="BB91" s="1279"/>
      <c r="BC91" s="1279"/>
      <c r="BD91" s="1279"/>
      <c r="BE91" s="1279"/>
      <c r="BF91" s="1279"/>
      <c r="BG91" s="1279"/>
      <c r="BH91" s="1279"/>
      <c r="BI91" s="1279"/>
      <c r="BJ91" s="1279"/>
      <c r="BK91" s="1279"/>
      <c r="BL91" s="1279"/>
      <c r="BM91" s="1279"/>
      <c r="BN91" s="1279"/>
      <c r="BO91" s="1279"/>
      <c r="BP91" s="1279"/>
      <c r="BQ91" s="1279"/>
      <c r="BR91" s="1279"/>
      <c r="BS91" s="1279"/>
      <c r="BT91" s="1279"/>
      <c r="BU91" s="1279"/>
      <c r="BV91" s="1279"/>
      <c r="BW91" s="1279"/>
      <c r="BX91" s="1279"/>
      <c r="BY91" s="1279"/>
      <c r="BZ91" s="1279"/>
      <c r="CA91" s="1279"/>
      <c r="CB91" s="1279"/>
      <c r="CC91" s="1279"/>
      <c r="CD91" s="1279"/>
      <c r="CE91" s="1279"/>
      <c r="CF91" s="1279"/>
      <c r="CG91" s="1279"/>
      <c r="CH91" s="1279"/>
      <c r="CI91" s="1279"/>
      <c r="CJ91" s="1279"/>
      <c r="CK91" s="1279"/>
      <c r="CL91" s="1279"/>
      <c r="CM91" s="1279"/>
      <c r="CN91" s="1279"/>
      <c r="CO91" s="1279"/>
      <c r="CP91" s="1279"/>
      <c r="CQ91" s="1279"/>
      <c r="CR91" s="1279"/>
      <c r="CS91" s="1279"/>
      <c r="CT91" s="1279"/>
      <c r="CU91" s="1279"/>
      <c r="CV91" s="1279"/>
      <c r="CW91" s="1279"/>
      <c r="CX91" s="1279"/>
      <c r="CY91" s="1279"/>
      <c r="CZ91" s="1279"/>
      <c r="DA91" s="1279"/>
      <c r="DB91" s="1279"/>
      <c r="DC91" s="1279"/>
      <c r="DD91" s="1279"/>
      <c r="DE91" s="1279"/>
      <c r="DF91" s="1279"/>
      <c r="DG91" s="1279"/>
      <c r="DH91" s="1279"/>
      <c r="DI91" s="1279"/>
      <c r="DJ91" s="1279"/>
      <c r="DK91" s="1279"/>
      <c r="DL91" s="1279"/>
      <c r="DM91" s="1279"/>
      <c r="DN91" s="1279"/>
      <c r="DO91" s="1279"/>
      <c r="DP91" s="1279"/>
      <c r="DQ91" s="1279"/>
      <c r="DR91" s="1279"/>
      <c r="DS91" s="1279"/>
      <c r="DT91" s="1279"/>
      <c r="DU91" s="1279"/>
      <c r="DV91" s="1279"/>
      <c r="DW91" s="1279"/>
      <c r="DX91" s="1279"/>
      <c r="DY91" s="1279"/>
      <c r="DZ91" s="1279"/>
      <c r="EA91" s="1279"/>
      <c r="EB91" s="1279"/>
      <c r="EC91" s="1279"/>
      <c r="ED91" s="1279"/>
      <c r="EE91" s="1279"/>
      <c r="EF91" s="1279"/>
      <c r="EG91" s="1279"/>
      <c r="EH91" s="1279"/>
      <c r="EI91" s="1279"/>
      <c r="EJ91" s="1279"/>
      <c r="EK91" s="1279"/>
      <c r="EL91" s="1279"/>
      <c r="EM91" s="1279"/>
      <c r="EN91" s="1279"/>
      <c r="EO91" s="1279"/>
    </row>
    <row r="92" spans="1:145" ht="15" hidden="1">
      <c r="A92" s="1253" t="s">
        <v>867</v>
      </c>
      <c r="C92" s="1316"/>
      <c r="D92" s="1155"/>
      <c r="E92" s="1317"/>
      <c r="F92" s="1318"/>
      <c r="G92" s="1047"/>
      <c r="H92" s="1170"/>
      <c r="J92" s="1319"/>
      <c r="K92" s="1235"/>
      <c r="L92" s="1309"/>
      <c r="M92" s="1235"/>
      <c r="N92" s="1320"/>
      <c r="O92" s="1321"/>
      <c r="X92" s="1323"/>
      <c r="Y92" s="1322"/>
      <c r="Z92" s="1322"/>
      <c r="AA92" s="1322"/>
      <c r="AB92" s="1322"/>
      <c r="AC92" s="1049"/>
      <c r="AD92" s="1322"/>
      <c r="AE92" s="1322"/>
      <c r="AF92" s="1322"/>
      <c r="AG92" s="1322"/>
      <c r="AH92" s="1049"/>
      <c r="AY92" s="1279"/>
      <c r="AZ92" s="1279"/>
      <c r="BA92" s="1279"/>
      <c r="BB92" s="1279"/>
      <c r="BC92" s="1279"/>
      <c r="BD92" s="1279"/>
      <c r="BE92" s="1279"/>
      <c r="BF92" s="1279"/>
      <c r="BG92" s="1279"/>
      <c r="BH92" s="1279"/>
      <c r="BI92" s="1279"/>
      <c r="BJ92" s="1279"/>
      <c r="BK92" s="1279"/>
      <c r="BL92" s="1279"/>
      <c r="BM92" s="1279"/>
      <c r="BN92" s="1279"/>
      <c r="BO92" s="1279"/>
      <c r="BP92" s="1279"/>
      <c r="BQ92" s="1279"/>
      <c r="BR92" s="1279"/>
      <c r="BS92" s="1279"/>
      <c r="BT92" s="1279"/>
      <c r="BU92" s="1279"/>
      <c r="BV92" s="1279"/>
      <c r="BW92" s="1279"/>
      <c r="BX92" s="1279"/>
      <c r="BY92" s="1279"/>
      <c r="BZ92" s="1279"/>
      <c r="CA92" s="1279"/>
      <c r="CB92" s="1279"/>
      <c r="CC92" s="1279"/>
      <c r="CD92" s="1279"/>
      <c r="CE92" s="1279"/>
      <c r="CF92" s="1279"/>
      <c r="CG92" s="1279"/>
      <c r="CH92" s="1279"/>
      <c r="CI92" s="1279"/>
      <c r="CJ92" s="1279"/>
      <c r="CK92" s="1279"/>
      <c r="CL92" s="1279"/>
      <c r="CM92" s="1279"/>
      <c r="CN92" s="1279"/>
      <c r="CO92" s="1279"/>
      <c r="CP92" s="1279"/>
      <c r="CQ92" s="1279"/>
      <c r="CR92" s="1279"/>
      <c r="CS92" s="1279"/>
      <c r="CT92" s="1279"/>
      <c r="CU92" s="1279"/>
      <c r="CV92" s="1279"/>
      <c r="CW92" s="1279"/>
      <c r="CX92" s="1279"/>
      <c r="CY92" s="1279"/>
      <c r="CZ92" s="1279"/>
      <c r="DA92" s="1279"/>
      <c r="DB92" s="1279"/>
      <c r="DC92" s="1279"/>
      <c r="DD92" s="1279"/>
      <c r="DE92" s="1279"/>
      <c r="DF92" s="1279"/>
      <c r="DG92" s="1279"/>
      <c r="DH92" s="1279"/>
      <c r="DI92" s="1279"/>
      <c r="DJ92" s="1279"/>
      <c r="DK92" s="1279"/>
      <c r="DL92" s="1279"/>
      <c r="DM92" s="1279"/>
      <c r="DN92" s="1279"/>
      <c r="DO92" s="1279"/>
      <c r="DP92" s="1279"/>
      <c r="DQ92" s="1279"/>
      <c r="DR92" s="1279"/>
      <c r="DS92" s="1279"/>
      <c r="DT92" s="1279"/>
      <c r="DU92" s="1279"/>
      <c r="DV92" s="1279"/>
      <c r="DW92" s="1279"/>
      <c r="DX92" s="1279"/>
      <c r="DY92" s="1279"/>
      <c r="DZ92" s="1279"/>
      <c r="EA92" s="1279"/>
      <c r="EB92" s="1279"/>
      <c r="EC92" s="1279"/>
      <c r="ED92" s="1279"/>
      <c r="EE92" s="1279"/>
      <c r="EF92" s="1279"/>
      <c r="EG92" s="1279"/>
      <c r="EH92" s="1279"/>
      <c r="EI92" s="1279"/>
      <c r="EJ92" s="1279"/>
      <c r="EK92" s="1279"/>
      <c r="EL92" s="1279"/>
      <c r="EM92" s="1279"/>
      <c r="EN92" s="1279"/>
      <c r="EO92" s="1279"/>
    </row>
    <row r="93" spans="1:145" s="1010" customFormat="1" ht="15" hidden="1">
      <c r="A93" s="1011"/>
      <c r="B93" s="1028"/>
      <c r="C93" s="645"/>
      <c r="D93" s="1218"/>
      <c r="E93" s="1001"/>
      <c r="F93" s="1219"/>
      <c r="G93" s="1047"/>
      <c r="H93" s="1170"/>
      <c r="I93" s="1003"/>
      <c r="J93" s="1138"/>
      <c r="K93" s="1002"/>
      <c r="L93" s="1136"/>
      <c r="M93" s="1002"/>
      <c r="N93" s="1014"/>
      <c r="O93" s="1015"/>
      <c r="P93" s="1006"/>
      <c r="Q93" s="1006"/>
      <c r="R93" s="1007"/>
      <c r="S93" s="1006"/>
      <c r="T93" s="1006"/>
      <c r="U93" s="1006"/>
      <c r="V93" s="1006"/>
      <c r="W93" s="1006"/>
      <c r="X93" s="1016"/>
      <c r="Y93" s="1006"/>
      <c r="Z93" s="1006"/>
      <c r="AA93" s="1006"/>
      <c r="AB93" s="1006"/>
      <c r="AC93" s="1009"/>
      <c r="AD93" s="1006"/>
      <c r="AE93" s="1006"/>
      <c r="AF93" s="1006"/>
      <c r="AG93" s="1006"/>
      <c r="AH93" s="1009"/>
      <c r="AJ93" s="1011"/>
      <c r="AK93" s="1011"/>
      <c r="AL93" s="863"/>
      <c r="AM93" s="863"/>
      <c r="AN93" s="1012"/>
      <c r="AQ93" s="1012"/>
      <c r="AR93" s="863"/>
      <c r="AS93" s="863"/>
      <c r="AT93" s="863"/>
      <c r="AU93" s="1007"/>
      <c r="AY93" s="994"/>
      <c r="AZ93" s="994"/>
      <c r="BA93" s="994"/>
      <c r="BB93" s="994"/>
      <c r="BC93" s="994"/>
      <c r="BD93" s="994"/>
      <c r="BE93" s="994"/>
      <c r="BF93" s="994"/>
      <c r="BG93" s="994"/>
      <c r="BH93" s="994"/>
      <c r="BI93" s="994"/>
      <c r="BJ93" s="994"/>
      <c r="BK93" s="994"/>
      <c r="BL93" s="994"/>
      <c r="BM93" s="994"/>
      <c r="BN93" s="994"/>
      <c r="BO93" s="994"/>
      <c r="BP93" s="994"/>
      <c r="BQ93" s="994"/>
      <c r="BR93" s="994"/>
      <c r="BS93" s="994"/>
      <c r="BT93" s="994"/>
      <c r="BU93" s="994"/>
      <c r="BV93" s="994"/>
      <c r="BW93" s="994"/>
      <c r="BX93" s="994"/>
      <c r="BY93" s="994"/>
      <c r="BZ93" s="994"/>
      <c r="CA93" s="994"/>
      <c r="CB93" s="994"/>
      <c r="CC93" s="994"/>
      <c r="CD93" s="994"/>
      <c r="CE93" s="994"/>
      <c r="CF93" s="994"/>
      <c r="CG93" s="994"/>
      <c r="CH93" s="994"/>
      <c r="CI93" s="994"/>
      <c r="CJ93" s="994"/>
      <c r="CK93" s="994"/>
      <c r="CL93" s="994"/>
      <c r="CM93" s="994"/>
      <c r="CN93" s="994"/>
      <c r="CO93" s="994"/>
      <c r="CP93" s="994"/>
      <c r="CQ93" s="994"/>
      <c r="CR93" s="994"/>
      <c r="CS93" s="994"/>
      <c r="CT93" s="994"/>
      <c r="CU93" s="994"/>
      <c r="CV93" s="994"/>
      <c r="CW93" s="994"/>
      <c r="CX93" s="994"/>
      <c r="CY93" s="994"/>
      <c r="CZ93" s="994"/>
      <c r="DA93" s="994"/>
      <c r="DB93" s="994"/>
      <c r="DC93" s="994"/>
      <c r="DD93" s="994"/>
      <c r="DE93" s="994"/>
      <c r="DF93" s="994"/>
      <c r="DG93" s="994"/>
      <c r="DH93" s="994"/>
      <c r="DI93" s="994"/>
      <c r="DJ93" s="994"/>
      <c r="DK93" s="994"/>
      <c r="DL93" s="994"/>
      <c r="DM93" s="994"/>
      <c r="DN93" s="994"/>
      <c r="DO93" s="994"/>
      <c r="DP93" s="994"/>
      <c r="DQ93" s="994"/>
      <c r="DR93" s="994"/>
      <c r="DS93" s="994"/>
      <c r="DT93" s="994"/>
      <c r="DU93" s="994"/>
      <c r="DV93" s="994"/>
      <c r="DW93" s="994"/>
      <c r="DX93" s="994"/>
      <c r="DY93" s="994"/>
      <c r="DZ93" s="994"/>
      <c r="EA93" s="994"/>
      <c r="EB93" s="994"/>
      <c r="EC93" s="994"/>
      <c r="ED93" s="994"/>
      <c r="EE93" s="994"/>
      <c r="EF93" s="994"/>
      <c r="EG93" s="994"/>
      <c r="EH93" s="994"/>
      <c r="EI93" s="994"/>
      <c r="EJ93" s="994"/>
      <c r="EK93" s="994"/>
      <c r="EL93" s="994"/>
      <c r="EM93" s="994"/>
      <c r="EN93" s="994"/>
      <c r="EO93" s="994"/>
    </row>
    <row r="94" spans="1:145" ht="30.75" hidden="1">
      <c r="A94" s="1011" t="s">
        <v>884</v>
      </c>
      <c r="B94" s="1028">
        <v>50</v>
      </c>
      <c r="C94" s="645">
        <f>'Line Item Descriptions'!F94</f>
        <v>2000</v>
      </c>
      <c r="D94" s="1218">
        <v>2000</v>
      </c>
      <c r="E94" s="1001">
        <v>274</v>
      </c>
      <c r="F94" s="1219">
        <v>274</v>
      </c>
      <c r="G94" s="1047"/>
      <c r="H94" s="1170"/>
      <c r="I94" s="1003"/>
      <c r="J94" s="1138"/>
      <c r="K94" s="1002">
        <f>SUM(C94*E94)/N94</f>
        <v>54800</v>
      </c>
      <c r="L94" s="1136">
        <v>54800</v>
      </c>
      <c r="M94" s="1002">
        <f>'TAR Numbers'!BP10+'TAR Numbers'!BQ10</f>
        <v>20841.295</v>
      </c>
      <c r="N94" s="1014">
        <v>10</v>
      </c>
      <c r="O94" s="1015"/>
      <c r="P94" s="1006"/>
      <c r="Q94" s="1006"/>
      <c r="R94" s="1007"/>
      <c r="S94" s="1006"/>
      <c r="T94" s="1006"/>
      <c r="U94" s="1006"/>
      <c r="V94" s="1006"/>
      <c r="W94" s="1006"/>
      <c r="X94" s="1016"/>
      <c r="Y94" s="1006"/>
      <c r="Z94" s="1006"/>
      <c r="AA94" s="1006"/>
      <c r="AB94" s="1006"/>
      <c r="AC94" s="1009"/>
      <c r="AD94" s="1006"/>
      <c r="AE94" s="1006"/>
      <c r="AF94" s="1006"/>
      <c r="AG94" s="1006"/>
      <c r="AH94" s="1009"/>
      <c r="AM94" s="1301"/>
      <c r="AQ94" s="1303"/>
      <c r="AS94" s="1301"/>
      <c r="AY94" s="1279"/>
      <c r="AZ94" s="1279"/>
      <c r="BA94" s="1279"/>
      <c r="BB94" s="1279"/>
      <c r="BC94" s="1279"/>
      <c r="BD94" s="1279"/>
      <c r="BE94" s="1279"/>
      <c r="BF94" s="1279"/>
      <c r="BG94" s="1279"/>
      <c r="BH94" s="1279"/>
      <c r="BI94" s="1279"/>
      <c r="BJ94" s="1279"/>
      <c r="BK94" s="1279"/>
      <c r="BL94" s="1279"/>
      <c r="BM94" s="1279"/>
      <c r="BN94" s="1279"/>
      <c r="BO94" s="1279"/>
      <c r="BP94" s="1279"/>
      <c r="BQ94" s="1279"/>
      <c r="BR94" s="1279"/>
      <c r="BS94" s="1279"/>
      <c r="BT94" s="1279"/>
      <c r="BU94" s="1279"/>
      <c r="BV94" s="1279"/>
      <c r="BW94" s="1279"/>
      <c r="BX94" s="1279"/>
      <c r="BY94" s="1279"/>
      <c r="BZ94" s="1279"/>
      <c r="CA94" s="1279"/>
      <c r="CB94" s="1279"/>
      <c r="CC94" s="1279"/>
      <c r="CD94" s="1279"/>
      <c r="CE94" s="1279"/>
      <c r="CF94" s="1279"/>
      <c r="CG94" s="1279"/>
      <c r="CH94" s="1279"/>
      <c r="CI94" s="1279"/>
      <c r="CJ94" s="1279"/>
      <c r="CK94" s="1279"/>
      <c r="CL94" s="1279"/>
      <c r="CM94" s="1279"/>
      <c r="CN94" s="1279"/>
      <c r="CO94" s="1279"/>
      <c r="CP94" s="1279"/>
      <c r="CQ94" s="1279"/>
      <c r="CR94" s="1279"/>
      <c r="CS94" s="1279"/>
      <c r="CT94" s="1279"/>
      <c r="CU94" s="1279"/>
      <c r="CV94" s="1279"/>
      <c r="CW94" s="1279"/>
      <c r="CX94" s="1279"/>
      <c r="CY94" s="1279"/>
      <c r="CZ94" s="1279"/>
      <c r="DA94" s="1279"/>
      <c r="DB94" s="1279"/>
      <c r="DC94" s="1279"/>
      <c r="DD94" s="1279"/>
      <c r="DE94" s="1279"/>
      <c r="DF94" s="1279"/>
      <c r="DG94" s="1279"/>
      <c r="DH94" s="1279"/>
      <c r="DI94" s="1279"/>
      <c r="DJ94" s="1279"/>
      <c r="DK94" s="1279"/>
      <c r="DL94" s="1279"/>
      <c r="DM94" s="1279"/>
      <c r="DN94" s="1279"/>
      <c r="DO94" s="1279"/>
      <c r="DP94" s="1279"/>
      <c r="DQ94" s="1279"/>
      <c r="DR94" s="1279"/>
      <c r="DS94" s="1279"/>
      <c r="DT94" s="1279"/>
      <c r="DU94" s="1279"/>
      <c r="DV94" s="1279"/>
      <c r="DW94" s="1279"/>
      <c r="DX94" s="1279"/>
      <c r="DY94" s="1279"/>
      <c r="DZ94" s="1279"/>
      <c r="EA94" s="1279"/>
      <c r="EB94" s="1279"/>
      <c r="EC94" s="1279"/>
      <c r="ED94" s="1279"/>
      <c r="EE94" s="1279"/>
      <c r="EF94" s="1279"/>
      <c r="EG94" s="1279"/>
      <c r="EH94" s="1279"/>
      <c r="EI94" s="1279"/>
      <c r="EJ94" s="1279"/>
      <c r="EK94" s="1279"/>
      <c r="EL94" s="1279"/>
      <c r="EM94" s="1279"/>
      <c r="EN94" s="1279"/>
      <c r="EO94" s="1279"/>
    </row>
    <row r="95" spans="1:145" ht="15" hidden="1">
      <c r="A95" s="1253" t="s">
        <v>738</v>
      </c>
      <c r="C95" s="1316"/>
      <c r="D95" s="1155"/>
      <c r="E95" s="1317"/>
      <c r="F95" s="1318"/>
      <c r="G95" s="1047"/>
      <c r="H95" s="1170"/>
      <c r="J95" s="1319"/>
      <c r="K95" s="1235"/>
      <c r="L95" s="1309"/>
      <c r="M95" s="1235"/>
      <c r="N95" s="1320"/>
      <c r="O95" s="1321"/>
      <c r="X95" s="1323"/>
      <c r="Y95" s="1322"/>
      <c r="Z95" s="1322"/>
      <c r="AA95" s="1322"/>
      <c r="AB95" s="1322"/>
      <c r="AC95" s="1049"/>
      <c r="AD95" s="1322"/>
      <c r="AE95" s="1322"/>
      <c r="AF95" s="1322"/>
      <c r="AG95" s="1322"/>
      <c r="AH95" s="1049"/>
      <c r="AM95" s="1301"/>
      <c r="AQ95" s="1303"/>
      <c r="AS95" s="1301"/>
      <c r="AY95" s="1279"/>
      <c r="AZ95" s="1279"/>
      <c r="BA95" s="1279"/>
      <c r="BB95" s="1279"/>
      <c r="BC95" s="1279"/>
      <c r="BD95" s="1279"/>
      <c r="BE95" s="1279"/>
      <c r="BF95" s="1279"/>
      <c r="BG95" s="1279"/>
      <c r="BH95" s="1279"/>
      <c r="BI95" s="1279"/>
      <c r="BJ95" s="1279"/>
      <c r="BK95" s="1279"/>
      <c r="BL95" s="1279"/>
      <c r="BM95" s="1279"/>
      <c r="BN95" s="1279"/>
      <c r="BO95" s="1279"/>
      <c r="BP95" s="1279"/>
      <c r="BQ95" s="1279"/>
      <c r="BR95" s="1279"/>
      <c r="BS95" s="1279"/>
      <c r="BT95" s="1279"/>
      <c r="BU95" s="1279"/>
      <c r="BV95" s="1279"/>
      <c r="BW95" s="1279"/>
      <c r="BX95" s="1279"/>
      <c r="BY95" s="1279"/>
      <c r="BZ95" s="1279"/>
      <c r="CA95" s="1279"/>
      <c r="CB95" s="1279"/>
      <c r="CC95" s="1279"/>
      <c r="CD95" s="1279"/>
      <c r="CE95" s="1279"/>
      <c r="CF95" s="1279"/>
      <c r="CG95" s="1279"/>
      <c r="CH95" s="1279"/>
      <c r="CI95" s="1279"/>
      <c r="CJ95" s="1279"/>
      <c r="CK95" s="1279"/>
      <c r="CL95" s="1279"/>
      <c r="CM95" s="1279"/>
      <c r="CN95" s="1279"/>
      <c r="CO95" s="1279"/>
      <c r="CP95" s="1279"/>
      <c r="CQ95" s="1279"/>
      <c r="CR95" s="1279"/>
      <c r="CS95" s="1279"/>
      <c r="CT95" s="1279"/>
      <c r="CU95" s="1279"/>
      <c r="CV95" s="1279"/>
      <c r="CW95" s="1279"/>
      <c r="CX95" s="1279"/>
      <c r="CY95" s="1279"/>
      <c r="CZ95" s="1279"/>
      <c r="DA95" s="1279"/>
      <c r="DB95" s="1279"/>
      <c r="DC95" s="1279"/>
      <c r="DD95" s="1279"/>
      <c r="DE95" s="1279"/>
      <c r="DF95" s="1279"/>
      <c r="DG95" s="1279"/>
      <c r="DH95" s="1279"/>
      <c r="DI95" s="1279"/>
      <c r="DJ95" s="1279"/>
      <c r="DK95" s="1279"/>
      <c r="DL95" s="1279"/>
      <c r="DM95" s="1279"/>
      <c r="DN95" s="1279"/>
      <c r="DO95" s="1279"/>
      <c r="DP95" s="1279"/>
      <c r="DQ95" s="1279"/>
      <c r="DR95" s="1279"/>
      <c r="DS95" s="1279"/>
      <c r="DT95" s="1279"/>
      <c r="DU95" s="1279"/>
      <c r="DV95" s="1279"/>
      <c r="DW95" s="1279"/>
      <c r="DX95" s="1279"/>
      <c r="DY95" s="1279"/>
      <c r="DZ95" s="1279"/>
      <c r="EA95" s="1279"/>
      <c r="EB95" s="1279"/>
      <c r="EC95" s="1279"/>
      <c r="ED95" s="1279"/>
      <c r="EE95" s="1279"/>
      <c r="EF95" s="1279"/>
      <c r="EG95" s="1279"/>
      <c r="EH95" s="1279"/>
      <c r="EI95" s="1279"/>
      <c r="EJ95" s="1279"/>
      <c r="EK95" s="1279"/>
      <c r="EL95" s="1279"/>
      <c r="EM95" s="1279"/>
      <c r="EN95" s="1279"/>
      <c r="EO95" s="1279"/>
    </row>
    <row r="96" spans="1:145" ht="15">
      <c r="A96" s="1011" t="s">
        <v>1907</v>
      </c>
      <c r="C96" s="1316">
        <f>'Line Item Descriptions'!F85</f>
        <v>1500</v>
      </c>
      <c r="D96" s="1155"/>
      <c r="E96" s="1317">
        <f>'Line Item Descriptions'!G85</f>
        <v>1247</v>
      </c>
      <c r="F96" s="1318"/>
      <c r="G96" s="1047"/>
      <c r="H96" s="1170"/>
      <c r="J96" s="1319"/>
      <c r="K96" s="1002">
        <f>SUM(C96*E96)/N96</f>
        <v>187050</v>
      </c>
      <c r="L96" s="1309"/>
      <c r="M96" s="1235"/>
      <c r="N96" s="1320">
        <v>10</v>
      </c>
      <c r="O96" s="1321"/>
      <c r="R96" s="1007" t="s">
        <v>83</v>
      </c>
      <c r="X96" s="1323"/>
      <c r="Y96" s="1322"/>
      <c r="Z96" s="1322"/>
      <c r="AA96" s="1322"/>
      <c r="AB96" s="1322"/>
      <c r="AC96" s="1049"/>
      <c r="AD96" s="1322"/>
      <c r="AE96" s="1322"/>
      <c r="AF96" s="1322"/>
      <c r="AG96" s="1322"/>
      <c r="AH96" s="1049"/>
      <c r="AM96" s="1301"/>
      <c r="AQ96" s="1303"/>
      <c r="AS96" s="1301"/>
      <c r="AY96" s="1279"/>
      <c r="AZ96" s="1279"/>
      <c r="BA96" s="1279"/>
      <c r="BB96" s="1279"/>
      <c r="BC96" s="1279"/>
      <c r="BD96" s="1279"/>
      <c r="BE96" s="1279"/>
      <c r="BF96" s="1279"/>
      <c r="BG96" s="1279"/>
      <c r="BH96" s="1279"/>
      <c r="BI96" s="1279"/>
      <c r="BJ96" s="1279"/>
      <c r="BK96" s="1279"/>
      <c r="BL96" s="1279"/>
      <c r="BM96" s="1279"/>
      <c r="BN96" s="1279"/>
      <c r="BO96" s="1279"/>
      <c r="BP96" s="1279"/>
      <c r="BQ96" s="1279"/>
      <c r="BR96" s="1279"/>
      <c r="BS96" s="1279"/>
      <c r="BT96" s="1279"/>
      <c r="BU96" s="1279"/>
      <c r="BV96" s="1279"/>
      <c r="BW96" s="1279"/>
      <c r="BX96" s="1279"/>
      <c r="BY96" s="1279"/>
      <c r="BZ96" s="1279"/>
      <c r="CA96" s="1279"/>
      <c r="CB96" s="1279"/>
      <c r="CC96" s="1279"/>
      <c r="CD96" s="1279"/>
      <c r="CE96" s="1279"/>
      <c r="CF96" s="1279"/>
      <c r="CG96" s="1279"/>
      <c r="CH96" s="1279"/>
      <c r="CI96" s="1279"/>
      <c r="CJ96" s="1279"/>
      <c r="CK96" s="1279"/>
      <c r="CL96" s="1279"/>
      <c r="CM96" s="1279"/>
      <c r="CN96" s="1279"/>
      <c r="CO96" s="1279"/>
      <c r="CP96" s="1279"/>
      <c r="CQ96" s="1279"/>
      <c r="CR96" s="1279"/>
      <c r="CS96" s="1279"/>
      <c r="CT96" s="1279"/>
      <c r="CU96" s="1279"/>
      <c r="CV96" s="1279"/>
      <c r="CW96" s="1279"/>
      <c r="CX96" s="1279"/>
      <c r="CY96" s="1279"/>
      <c r="CZ96" s="1279"/>
      <c r="DA96" s="1279"/>
      <c r="DB96" s="1279"/>
      <c r="DC96" s="1279"/>
      <c r="DD96" s="1279"/>
      <c r="DE96" s="1279"/>
      <c r="DF96" s="1279"/>
      <c r="DG96" s="1279"/>
      <c r="DH96" s="1279"/>
      <c r="DI96" s="1279"/>
      <c r="DJ96" s="1279"/>
      <c r="DK96" s="1279"/>
      <c r="DL96" s="1279"/>
      <c r="DM96" s="1279"/>
      <c r="DN96" s="1279"/>
      <c r="DO96" s="1279"/>
      <c r="DP96" s="1279"/>
      <c r="DQ96" s="1279"/>
      <c r="DR96" s="1279"/>
      <c r="DS96" s="1279"/>
      <c r="DT96" s="1279"/>
      <c r="DU96" s="1279"/>
      <c r="DV96" s="1279"/>
      <c r="DW96" s="1279"/>
      <c r="DX96" s="1279"/>
      <c r="DY96" s="1279"/>
      <c r="DZ96" s="1279"/>
      <c r="EA96" s="1279"/>
      <c r="EB96" s="1279"/>
      <c r="EC96" s="1279"/>
      <c r="ED96" s="1279"/>
      <c r="EE96" s="1279"/>
      <c r="EF96" s="1279"/>
      <c r="EG96" s="1279"/>
      <c r="EH96" s="1279"/>
      <c r="EI96" s="1279"/>
      <c r="EJ96" s="1279"/>
      <c r="EK96" s="1279"/>
      <c r="EL96" s="1279"/>
      <c r="EM96" s="1279"/>
      <c r="EN96" s="1279"/>
      <c r="EO96" s="1279"/>
    </row>
    <row r="97" spans="1:145" s="1010" customFormat="1" ht="15">
      <c r="A97" s="1011"/>
      <c r="B97" s="1028"/>
      <c r="C97" s="645"/>
      <c r="D97" s="1218"/>
      <c r="E97" s="1001"/>
      <c r="F97" s="1219"/>
      <c r="G97" s="1003"/>
      <c r="H97" s="1138"/>
      <c r="I97" s="1003"/>
      <c r="J97" s="1138"/>
      <c r="K97" s="1002"/>
      <c r="L97" s="1136"/>
      <c r="M97" s="1002"/>
      <c r="N97" s="1014"/>
      <c r="O97" s="1015"/>
      <c r="P97" s="1006"/>
      <c r="Q97" s="1006"/>
      <c r="R97" s="1007"/>
      <c r="S97" s="1006"/>
      <c r="T97" s="1006"/>
      <c r="U97" s="1006"/>
      <c r="V97" s="1006"/>
      <c r="W97" s="1006"/>
      <c r="X97" s="1008"/>
      <c r="Y97" s="1006"/>
      <c r="Z97" s="1006"/>
      <c r="AA97" s="1006"/>
      <c r="AB97" s="1006"/>
      <c r="AC97" s="1009"/>
      <c r="AD97" s="1006"/>
      <c r="AE97" s="1006"/>
      <c r="AF97" s="1006"/>
      <c r="AG97" s="1006"/>
      <c r="AH97" s="1009"/>
      <c r="AJ97" s="1011"/>
      <c r="AK97" s="1011"/>
      <c r="AL97" s="863"/>
      <c r="AM97" s="1177"/>
      <c r="AN97" s="1012"/>
      <c r="AQ97" s="1209"/>
      <c r="AR97" s="863"/>
      <c r="AS97" s="1177"/>
      <c r="AT97" s="863"/>
      <c r="AU97" s="1007"/>
      <c r="AY97" s="994"/>
      <c r="AZ97" s="994"/>
      <c r="BA97" s="994"/>
      <c r="BB97" s="994"/>
      <c r="BC97" s="994"/>
      <c r="BD97" s="994"/>
      <c r="BE97" s="994"/>
      <c r="BF97" s="994"/>
      <c r="BG97" s="994"/>
      <c r="BH97" s="994"/>
      <c r="BI97" s="994"/>
      <c r="BJ97" s="994"/>
      <c r="BK97" s="994"/>
      <c r="BL97" s="994"/>
      <c r="BM97" s="994"/>
      <c r="BN97" s="994"/>
      <c r="BO97" s="994"/>
      <c r="BP97" s="994"/>
      <c r="BQ97" s="994"/>
      <c r="BR97" s="994"/>
      <c r="BS97" s="994"/>
      <c r="BT97" s="994"/>
      <c r="BU97" s="994"/>
      <c r="BV97" s="994"/>
      <c r="BW97" s="994"/>
      <c r="BX97" s="994"/>
      <c r="BY97" s="994"/>
      <c r="BZ97" s="994"/>
      <c r="CA97" s="994"/>
      <c r="CB97" s="994"/>
      <c r="CC97" s="994"/>
      <c r="CD97" s="994"/>
      <c r="CE97" s="994"/>
      <c r="CF97" s="994"/>
      <c r="CG97" s="994"/>
      <c r="CH97" s="994"/>
      <c r="CI97" s="994"/>
      <c r="CJ97" s="994"/>
      <c r="CK97" s="994"/>
      <c r="CL97" s="994"/>
      <c r="CM97" s="994"/>
      <c r="CN97" s="994"/>
      <c r="CO97" s="994"/>
      <c r="CP97" s="994"/>
      <c r="CQ97" s="994"/>
      <c r="CR97" s="994"/>
      <c r="CS97" s="994"/>
      <c r="CT97" s="994"/>
      <c r="CU97" s="994"/>
      <c r="CV97" s="994"/>
      <c r="CW97" s="994"/>
      <c r="CX97" s="994"/>
      <c r="CY97" s="994"/>
      <c r="CZ97" s="994"/>
      <c r="DA97" s="994"/>
      <c r="DB97" s="994"/>
      <c r="DC97" s="994"/>
      <c r="DD97" s="994"/>
      <c r="DE97" s="994"/>
      <c r="DF97" s="994"/>
      <c r="DG97" s="994"/>
      <c r="DH97" s="994"/>
      <c r="DI97" s="994"/>
      <c r="DJ97" s="994"/>
      <c r="DK97" s="994"/>
      <c r="DL97" s="994"/>
      <c r="DM97" s="994"/>
      <c r="DN97" s="994"/>
      <c r="DO97" s="994"/>
      <c r="DP97" s="994"/>
      <c r="DQ97" s="994"/>
      <c r="DR97" s="994"/>
      <c r="DS97" s="994"/>
      <c r="DT97" s="994"/>
      <c r="DU97" s="994"/>
      <c r="DV97" s="994"/>
      <c r="DW97" s="994"/>
      <c r="DX97" s="994"/>
      <c r="DY97" s="994"/>
      <c r="DZ97" s="994"/>
      <c r="EA97" s="994"/>
      <c r="EB97" s="994"/>
      <c r="EC97" s="994"/>
      <c r="ED97" s="994"/>
      <c r="EE97" s="994"/>
      <c r="EF97" s="994"/>
      <c r="EG97" s="994"/>
      <c r="EH97" s="994"/>
      <c r="EI97" s="994"/>
      <c r="EJ97" s="994"/>
      <c r="EK97" s="994"/>
      <c r="EL97" s="994"/>
      <c r="EM97" s="994"/>
      <c r="EN97" s="994"/>
      <c r="EO97" s="994"/>
    </row>
    <row r="98" spans="1:145" ht="15">
      <c r="A98" s="1034" t="s">
        <v>74</v>
      </c>
      <c r="B98" s="1034"/>
      <c r="C98" s="656"/>
      <c r="D98" s="1156"/>
      <c r="E98" s="1050"/>
      <c r="F98" s="1167"/>
      <c r="G98" s="1051">
        <f>SUM(G81:G97)</f>
        <v>53940</v>
      </c>
      <c r="H98" s="1141">
        <v>27125</v>
      </c>
      <c r="I98" s="1003"/>
      <c r="J98" s="1138"/>
      <c r="K98" s="1051">
        <f>SUM(K81+K82+K96)</f>
        <v>253170</v>
      </c>
      <c r="L98" s="1141">
        <v>194850</v>
      </c>
      <c r="M98" s="1051">
        <f>SUM(M76:M97)</f>
        <v>401596.915</v>
      </c>
      <c r="N98" s="1019" t="s">
        <v>25</v>
      </c>
      <c r="O98" s="1051">
        <f>SUM(O76:O97)</f>
        <v>0</v>
      </c>
      <c r="P98" s="1051">
        <f>SUM(P76:P97)</f>
        <v>396720</v>
      </c>
      <c r="Q98" s="1051">
        <f>SUM(Q76:Q97)</f>
        <v>396720</v>
      </c>
      <c r="R98" s="1041"/>
      <c r="S98" s="1029">
        <f>SUM(S76:S97)</f>
        <v>0</v>
      </c>
      <c r="T98" s="1029">
        <f>SUM(T76:T97)</f>
        <v>0</v>
      </c>
      <c r="U98" s="1029">
        <f>SUM(U76:U97)</f>
        <v>0</v>
      </c>
      <c r="V98" s="1029">
        <f>SUM(V76:V97)</f>
        <v>125280</v>
      </c>
      <c r="W98" s="1029">
        <f>SUM(W76:W97)</f>
        <v>125280</v>
      </c>
      <c r="X98" s="1029">
        <v>797789.4214685819</v>
      </c>
      <c r="Y98" s="1029">
        <f aca="true" t="shared" si="49" ref="Y98:AH98">SUM(Y76:Y97)</f>
        <v>0</v>
      </c>
      <c r="Z98" s="1029">
        <f t="shared" si="49"/>
        <v>0</v>
      </c>
      <c r="AA98" s="1029">
        <f t="shared" si="49"/>
        <v>0</v>
      </c>
      <c r="AB98" s="1029">
        <f t="shared" si="49"/>
        <v>20880</v>
      </c>
      <c r="AC98" s="1029">
        <f t="shared" si="49"/>
        <v>20880</v>
      </c>
      <c r="AD98" s="1029">
        <f t="shared" si="49"/>
        <v>0</v>
      </c>
      <c r="AE98" s="1029">
        <f t="shared" si="49"/>
        <v>0</v>
      </c>
      <c r="AF98" s="1029">
        <f t="shared" si="49"/>
        <v>0</v>
      </c>
      <c r="AG98" s="1029">
        <f t="shared" si="49"/>
        <v>0</v>
      </c>
      <c r="AH98" s="1029">
        <f t="shared" si="49"/>
        <v>0</v>
      </c>
      <c r="AM98" s="1301"/>
      <c r="AQ98" s="1303"/>
      <c r="AS98" s="1301"/>
      <c r="AY98" s="1279"/>
      <c r="AZ98" s="1279"/>
      <c r="BA98" s="1279"/>
      <c r="BB98" s="1279"/>
      <c r="BC98" s="1279"/>
      <c r="BD98" s="1279"/>
      <c r="BE98" s="1279"/>
      <c r="BF98" s="1279"/>
      <c r="BG98" s="1279"/>
      <c r="BH98" s="1279"/>
      <c r="BI98" s="1279"/>
      <c r="BJ98" s="1279"/>
      <c r="BK98" s="1279"/>
      <c r="BL98" s="1279"/>
      <c r="BM98" s="1279"/>
      <c r="BN98" s="1279"/>
      <c r="BO98" s="1279"/>
      <c r="BP98" s="1279"/>
      <c r="BQ98" s="1279"/>
      <c r="BR98" s="1279"/>
      <c r="BS98" s="1279"/>
      <c r="BT98" s="1279"/>
      <c r="BU98" s="1279"/>
      <c r="BV98" s="1279"/>
      <c r="BW98" s="1279"/>
      <c r="BX98" s="1279"/>
      <c r="BY98" s="1279"/>
      <c r="BZ98" s="1279"/>
      <c r="CA98" s="1279"/>
      <c r="CB98" s="1279"/>
      <c r="CC98" s="1279"/>
      <c r="CD98" s="1279"/>
      <c r="CE98" s="1279"/>
      <c r="CF98" s="1279"/>
      <c r="CG98" s="1279"/>
      <c r="CH98" s="1279"/>
      <c r="CI98" s="1279"/>
      <c r="CJ98" s="1279"/>
      <c r="CK98" s="1279"/>
      <c r="CL98" s="1279"/>
      <c r="CM98" s="1279"/>
      <c r="CN98" s="1279"/>
      <c r="CO98" s="1279"/>
      <c r="CP98" s="1279"/>
      <c r="CQ98" s="1279"/>
      <c r="CR98" s="1279"/>
      <c r="CS98" s="1279"/>
      <c r="CT98" s="1279"/>
      <c r="CU98" s="1279"/>
      <c r="CV98" s="1279"/>
      <c r="CW98" s="1279"/>
      <c r="CX98" s="1279"/>
      <c r="CY98" s="1279"/>
      <c r="CZ98" s="1279"/>
      <c r="DA98" s="1279"/>
      <c r="DB98" s="1279"/>
      <c r="DC98" s="1279"/>
      <c r="DD98" s="1279"/>
      <c r="DE98" s="1279"/>
      <c r="DF98" s="1279"/>
      <c r="DG98" s="1279"/>
      <c r="DH98" s="1279"/>
      <c r="DI98" s="1279"/>
      <c r="DJ98" s="1279"/>
      <c r="DK98" s="1279"/>
      <c r="DL98" s="1279"/>
      <c r="DM98" s="1279"/>
      <c r="DN98" s="1279"/>
      <c r="DO98" s="1279"/>
      <c r="DP98" s="1279"/>
      <c r="DQ98" s="1279"/>
      <c r="DR98" s="1279"/>
      <c r="DS98" s="1279"/>
      <c r="DT98" s="1279"/>
      <c r="DU98" s="1279"/>
      <c r="DV98" s="1279"/>
      <c r="DW98" s="1279"/>
      <c r="DX98" s="1279"/>
      <c r="DY98" s="1279"/>
      <c r="DZ98" s="1279"/>
      <c r="EA98" s="1279"/>
      <c r="EB98" s="1279"/>
      <c r="EC98" s="1279"/>
      <c r="ED98" s="1279"/>
      <c r="EE98" s="1279"/>
      <c r="EF98" s="1279"/>
      <c r="EG98" s="1279"/>
      <c r="EH98" s="1279"/>
      <c r="EI98" s="1279"/>
      <c r="EJ98" s="1279"/>
      <c r="EK98" s="1279"/>
      <c r="EL98" s="1279"/>
      <c r="EM98" s="1279"/>
      <c r="EN98" s="1279"/>
      <c r="EO98" s="1279"/>
    </row>
    <row r="99" spans="1:145" ht="15">
      <c r="A99" s="1028"/>
      <c r="B99" s="1028"/>
      <c r="C99" s="645"/>
      <c r="D99" s="1218"/>
      <c r="F99" s="1219"/>
      <c r="G99" s="1051"/>
      <c r="H99" s="1141"/>
      <c r="I99" s="1003"/>
      <c r="J99" s="1138"/>
      <c r="K99" s="1023"/>
      <c r="L99" s="1137"/>
      <c r="M99" s="1023"/>
      <c r="N99" s="1014"/>
      <c r="O99" s="1060"/>
      <c r="P99" s="1029"/>
      <c r="Q99" s="1029"/>
      <c r="R99" s="1007"/>
      <c r="S99" s="1006"/>
      <c r="T99" s="1006"/>
      <c r="U99" s="1006"/>
      <c r="V99" s="1006"/>
      <c r="W99" s="1006"/>
      <c r="X99" s="1009"/>
      <c r="Y99" s="1006"/>
      <c r="Z99" s="1006"/>
      <c r="AA99" s="1006"/>
      <c r="AB99" s="1006"/>
      <c r="AC99" s="1009"/>
      <c r="AD99" s="1029"/>
      <c r="AE99" s="1029"/>
      <c r="AF99" s="1029"/>
      <c r="AG99" s="1029"/>
      <c r="AH99" s="1009"/>
      <c r="AI99" s="1287"/>
      <c r="AJ99" s="1288"/>
      <c r="AK99" s="1288"/>
      <c r="AL99" s="1289"/>
      <c r="AM99" s="1290"/>
      <c r="AN99" s="1291"/>
      <c r="AO99" s="1287"/>
      <c r="AP99" s="1287"/>
      <c r="AQ99" s="1292"/>
      <c r="AR99" s="1289"/>
      <c r="AS99" s="1290"/>
      <c r="AT99" s="1289"/>
      <c r="AU99" s="1293"/>
      <c r="AV99" s="1287"/>
      <c r="AW99" s="1287"/>
      <c r="AX99" s="1287"/>
      <c r="AY99" s="1279"/>
      <c r="AZ99" s="1279"/>
      <c r="BA99" s="1279"/>
      <c r="BB99" s="1279"/>
      <c r="BC99" s="1279"/>
      <c r="BD99" s="1279"/>
      <c r="BE99" s="1279"/>
      <c r="BF99" s="1279"/>
      <c r="BG99" s="1279"/>
      <c r="BH99" s="1279"/>
      <c r="BI99" s="1279"/>
      <c r="BJ99" s="1279"/>
      <c r="BK99" s="1279"/>
      <c r="BL99" s="1279"/>
      <c r="BM99" s="1279"/>
      <c r="BN99" s="1279"/>
      <c r="BO99" s="1279"/>
      <c r="BP99" s="1279"/>
      <c r="BQ99" s="1279"/>
      <c r="BR99" s="1279"/>
      <c r="BS99" s="1279"/>
      <c r="BT99" s="1279"/>
      <c r="BU99" s="1279"/>
      <c r="BV99" s="1279"/>
      <c r="BW99" s="1279"/>
      <c r="BX99" s="1279"/>
      <c r="BY99" s="1279"/>
      <c r="BZ99" s="1279"/>
      <c r="CA99" s="1279"/>
      <c r="CB99" s="1279"/>
      <c r="CC99" s="1279"/>
      <c r="CD99" s="1279"/>
      <c r="CE99" s="1279"/>
      <c r="CF99" s="1279"/>
      <c r="CG99" s="1279"/>
      <c r="CH99" s="1279"/>
      <c r="CI99" s="1279"/>
      <c r="CJ99" s="1279"/>
      <c r="CK99" s="1279"/>
      <c r="CL99" s="1279"/>
      <c r="CM99" s="1279"/>
      <c r="CN99" s="1279"/>
      <c r="CO99" s="1279"/>
      <c r="CP99" s="1279"/>
      <c r="CQ99" s="1279"/>
      <c r="CR99" s="1279"/>
      <c r="CS99" s="1279"/>
      <c r="CT99" s="1279"/>
      <c r="CU99" s="1279"/>
      <c r="CV99" s="1279"/>
      <c r="CW99" s="1279"/>
      <c r="CX99" s="1279"/>
      <c r="CY99" s="1279"/>
      <c r="CZ99" s="1279"/>
      <c r="DA99" s="1279"/>
      <c r="DB99" s="1279"/>
      <c r="DC99" s="1279"/>
      <c r="DD99" s="1279"/>
      <c r="DE99" s="1279"/>
      <c r="DF99" s="1279"/>
      <c r="DG99" s="1279"/>
      <c r="DH99" s="1279"/>
      <c r="DI99" s="1279"/>
      <c r="DJ99" s="1279"/>
      <c r="DK99" s="1279"/>
      <c r="DL99" s="1279"/>
      <c r="DM99" s="1279"/>
      <c r="DN99" s="1279"/>
      <c r="DO99" s="1279"/>
      <c r="DP99" s="1279"/>
      <c r="DQ99" s="1279"/>
      <c r="DR99" s="1279"/>
      <c r="DS99" s="1279"/>
      <c r="DT99" s="1279"/>
      <c r="DU99" s="1279"/>
      <c r="DV99" s="1279"/>
      <c r="DW99" s="1279"/>
      <c r="DX99" s="1279"/>
      <c r="DY99" s="1279"/>
      <c r="DZ99" s="1279"/>
      <c r="EA99" s="1279"/>
      <c r="EB99" s="1279"/>
      <c r="EC99" s="1279"/>
      <c r="ED99" s="1279"/>
      <c r="EE99" s="1279"/>
      <c r="EF99" s="1279"/>
      <c r="EG99" s="1279"/>
      <c r="EH99" s="1279"/>
      <c r="EI99" s="1279"/>
      <c r="EJ99" s="1279"/>
      <c r="EK99" s="1279"/>
      <c r="EL99" s="1279"/>
      <c r="EM99" s="1279"/>
      <c r="EN99" s="1279"/>
      <c r="EO99" s="1279"/>
    </row>
    <row r="100" spans="1:145" ht="18">
      <c r="A100" s="1061" t="s">
        <v>75</v>
      </c>
      <c r="B100" s="1061"/>
      <c r="C100" s="645"/>
      <c r="D100" s="1218"/>
      <c r="F100" s="1219"/>
      <c r="G100" s="1051"/>
      <c r="H100" s="1141"/>
      <c r="I100" s="1003"/>
      <c r="J100" s="1138"/>
      <c r="K100" s="1023">
        <f>K71+K74+K98</f>
        <v>472345.11854166666</v>
      </c>
      <c r="L100" s="1137">
        <v>994107.6666666666</v>
      </c>
      <c r="M100" s="1023">
        <f>M71+M74+M98</f>
        <v>4111896.0520000006</v>
      </c>
      <c r="N100" s="1014"/>
      <c r="O100" s="1023">
        <f>O71+O74+O98</f>
        <v>48766.960666666666</v>
      </c>
      <c r="P100" s="1023">
        <f>P71+P74+P98</f>
        <v>1711770.71125</v>
      </c>
      <c r="Q100" s="1023">
        <f>Q71+Q74+Q98</f>
        <v>1565469.82925</v>
      </c>
      <c r="R100" s="1007"/>
      <c r="S100" s="1023">
        <f aca="true" t="shared" si="50" ref="S100:AH100">S71+S74+S98</f>
        <v>1315050.71125</v>
      </c>
      <c r="T100" s="1023">
        <f t="shared" si="50"/>
        <v>0</v>
      </c>
      <c r="U100" s="1023">
        <f t="shared" si="50"/>
        <v>0</v>
      </c>
      <c r="V100" s="1023">
        <f t="shared" si="50"/>
        <v>125280</v>
      </c>
      <c r="W100" s="1023">
        <f t="shared" si="50"/>
        <v>1440330.71125</v>
      </c>
      <c r="X100" s="1023">
        <f t="shared" si="50"/>
        <v>1571410.8900177828</v>
      </c>
      <c r="Y100" s="1023">
        <f t="shared" si="50"/>
        <v>219175.11854166666</v>
      </c>
      <c r="Z100" s="1023">
        <f t="shared" si="50"/>
        <v>0</v>
      </c>
      <c r="AA100" s="1023">
        <f t="shared" si="50"/>
        <v>0</v>
      </c>
      <c r="AB100" s="1023">
        <f t="shared" si="50"/>
        <v>20880</v>
      </c>
      <c r="AC100" s="1023">
        <f t="shared" si="50"/>
        <v>240055.11854166666</v>
      </c>
      <c r="AD100" s="1023">
        <f t="shared" si="50"/>
        <v>48766.960666666666</v>
      </c>
      <c r="AE100" s="1023">
        <f t="shared" si="50"/>
        <v>0</v>
      </c>
      <c r="AF100" s="1023">
        <f t="shared" si="50"/>
        <v>0</v>
      </c>
      <c r="AG100" s="1023">
        <f t="shared" si="50"/>
        <v>0</v>
      </c>
      <c r="AH100" s="1023">
        <f t="shared" si="50"/>
        <v>48766.960666666666</v>
      </c>
      <c r="AM100" s="1301"/>
      <c r="AQ100" s="1303"/>
      <c r="AS100" s="1301"/>
      <c r="AY100" s="1279"/>
      <c r="AZ100" s="1279"/>
      <c r="BA100" s="1279"/>
      <c r="BB100" s="1279"/>
      <c r="BC100" s="1279"/>
      <c r="BD100" s="1279"/>
      <c r="BE100" s="1279"/>
      <c r="BF100" s="1279"/>
      <c r="BG100" s="1279"/>
      <c r="BH100" s="1279"/>
      <c r="BI100" s="1279"/>
      <c r="BJ100" s="1279"/>
      <c r="BK100" s="1279"/>
      <c r="BL100" s="1279"/>
      <c r="BM100" s="1279"/>
      <c r="BN100" s="1279"/>
      <c r="BO100" s="1279"/>
      <c r="BP100" s="1279"/>
      <c r="BQ100" s="1279"/>
      <c r="BR100" s="1279"/>
      <c r="BS100" s="1279"/>
      <c r="BT100" s="1279"/>
      <c r="BU100" s="1279"/>
      <c r="BV100" s="1279"/>
      <c r="BW100" s="1279"/>
      <c r="BX100" s="1279"/>
      <c r="BY100" s="1279"/>
      <c r="BZ100" s="1279"/>
      <c r="CA100" s="1279"/>
      <c r="CB100" s="1279"/>
      <c r="CC100" s="1279"/>
      <c r="CD100" s="1279"/>
      <c r="CE100" s="1279"/>
      <c r="CF100" s="1279"/>
      <c r="CG100" s="1279"/>
      <c r="CH100" s="1279"/>
      <c r="CI100" s="1279"/>
      <c r="CJ100" s="1279"/>
      <c r="CK100" s="1279"/>
      <c r="CL100" s="1279"/>
      <c r="CM100" s="1279"/>
      <c r="CN100" s="1279"/>
      <c r="CO100" s="1279"/>
      <c r="CP100" s="1279"/>
      <c r="CQ100" s="1279"/>
      <c r="CR100" s="1279"/>
      <c r="CS100" s="1279"/>
      <c r="CT100" s="1279"/>
      <c r="CU100" s="1279"/>
      <c r="CV100" s="1279"/>
      <c r="CW100" s="1279"/>
      <c r="CX100" s="1279"/>
      <c r="CY100" s="1279"/>
      <c r="CZ100" s="1279"/>
      <c r="DA100" s="1279"/>
      <c r="DB100" s="1279"/>
      <c r="DC100" s="1279"/>
      <c r="DD100" s="1279"/>
      <c r="DE100" s="1279"/>
      <c r="DF100" s="1279"/>
      <c r="DG100" s="1279"/>
      <c r="DH100" s="1279"/>
      <c r="DI100" s="1279"/>
      <c r="DJ100" s="1279"/>
      <c r="DK100" s="1279"/>
      <c r="DL100" s="1279"/>
      <c r="DM100" s="1279"/>
      <c r="DN100" s="1279"/>
      <c r="DO100" s="1279"/>
      <c r="DP100" s="1279"/>
      <c r="DQ100" s="1279"/>
      <c r="DR100" s="1279"/>
      <c r="DS100" s="1279"/>
      <c r="DT100" s="1279"/>
      <c r="DU100" s="1279"/>
      <c r="DV100" s="1279"/>
      <c r="DW100" s="1279"/>
      <c r="DX100" s="1279"/>
      <c r="DY100" s="1279"/>
      <c r="DZ100" s="1279"/>
      <c r="EA100" s="1279"/>
      <c r="EB100" s="1279"/>
      <c r="EC100" s="1279"/>
      <c r="ED100" s="1279"/>
      <c r="EE100" s="1279"/>
      <c r="EF100" s="1279"/>
      <c r="EG100" s="1279"/>
      <c r="EH100" s="1279"/>
      <c r="EI100" s="1279"/>
      <c r="EJ100" s="1279"/>
      <c r="EK100" s="1279"/>
      <c r="EL100" s="1279"/>
      <c r="EM100" s="1279"/>
      <c r="EN100" s="1279"/>
      <c r="EO100" s="1279"/>
    </row>
    <row r="101" spans="1:145" ht="15">
      <c r="A101" s="1028"/>
      <c r="B101" s="1028"/>
      <c r="C101" s="645"/>
      <c r="D101" s="1218"/>
      <c r="F101" s="1219"/>
      <c r="G101" s="1051"/>
      <c r="H101" s="1141"/>
      <c r="I101" s="1003"/>
      <c r="J101" s="1138"/>
      <c r="K101" s="1023"/>
      <c r="L101" s="1137"/>
      <c r="M101" s="1023"/>
      <c r="N101" s="1014"/>
      <c r="O101" s="1060"/>
      <c r="P101" s="1029"/>
      <c r="Q101" s="1029"/>
      <c r="R101" s="1007"/>
      <c r="S101" s="1006"/>
      <c r="T101" s="1006"/>
      <c r="U101" s="1006"/>
      <c r="V101" s="1006"/>
      <c r="W101" s="1006"/>
      <c r="X101" s="1009"/>
      <c r="Y101" s="1006"/>
      <c r="Z101" s="1006"/>
      <c r="AA101" s="1006"/>
      <c r="AB101" s="1006"/>
      <c r="AC101" s="1009"/>
      <c r="AD101" s="1029"/>
      <c r="AE101" s="1029"/>
      <c r="AF101" s="1029"/>
      <c r="AG101" s="1029"/>
      <c r="AH101" s="1009"/>
      <c r="AM101" s="1301"/>
      <c r="AQ101" s="1303"/>
      <c r="AS101" s="1301"/>
      <c r="AY101" s="1279"/>
      <c r="AZ101" s="1279"/>
      <c r="BA101" s="1279"/>
      <c r="BB101" s="1279"/>
      <c r="BC101" s="1279"/>
      <c r="BD101" s="1279"/>
      <c r="BE101" s="1279"/>
      <c r="BF101" s="1279"/>
      <c r="BG101" s="1279"/>
      <c r="BH101" s="1279"/>
      <c r="BI101" s="1279"/>
      <c r="BJ101" s="1279"/>
      <c r="BK101" s="1279"/>
      <c r="BL101" s="1279"/>
      <c r="BM101" s="1279"/>
      <c r="BN101" s="1279"/>
      <c r="BO101" s="1279"/>
      <c r="BP101" s="1279"/>
      <c r="BQ101" s="1279"/>
      <c r="BR101" s="1279"/>
      <c r="BS101" s="1279"/>
      <c r="BT101" s="1279"/>
      <c r="BU101" s="1279"/>
      <c r="BV101" s="1279"/>
      <c r="BW101" s="1279"/>
      <c r="BX101" s="1279"/>
      <c r="BY101" s="1279"/>
      <c r="BZ101" s="1279"/>
      <c r="CA101" s="1279"/>
      <c r="CB101" s="1279"/>
      <c r="CC101" s="1279"/>
      <c r="CD101" s="1279"/>
      <c r="CE101" s="1279"/>
      <c r="CF101" s="1279"/>
      <c r="CG101" s="1279"/>
      <c r="CH101" s="1279"/>
      <c r="CI101" s="1279"/>
      <c r="CJ101" s="1279"/>
      <c r="CK101" s="1279"/>
      <c r="CL101" s="1279"/>
      <c r="CM101" s="1279"/>
      <c r="CN101" s="1279"/>
      <c r="CO101" s="1279"/>
      <c r="CP101" s="1279"/>
      <c r="CQ101" s="1279"/>
      <c r="CR101" s="1279"/>
      <c r="CS101" s="1279"/>
      <c r="CT101" s="1279"/>
      <c r="CU101" s="1279"/>
      <c r="CV101" s="1279"/>
      <c r="CW101" s="1279"/>
      <c r="CX101" s="1279"/>
      <c r="CY101" s="1279"/>
      <c r="CZ101" s="1279"/>
      <c r="DA101" s="1279"/>
      <c r="DB101" s="1279"/>
      <c r="DC101" s="1279"/>
      <c r="DD101" s="1279"/>
      <c r="DE101" s="1279"/>
      <c r="DF101" s="1279"/>
      <c r="DG101" s="1279"/>
      <c r="DH101" s="1279"/>
      <c r="DI101" s="1279"/>
      <c r="DJ101" s="1279"/>
      <c r="DK101" s="1279"/>
      <c r="DL101" s="1279"/>
      <c r="DM101" s="1279"/>
      <c r="DN101" s="1279"/>
      <c r="DO101" s="1279"/>
      <c r="DP101" s="1279"/>
      <c r="DQ101" s="1279"/>
      <c r="DR101" s="1279"/>
      <c r="DS101" s="1279"/>
      <c r="DT101" s="1279"/>
      <c r="DU101" s="1279"/>
      <c r="DV101" s="1279"/>
      <c r="DW101" s="1279"/>
      <c r="DX101" s="1279"/>
      <c r="DY101" s="1279"/>
      <c r="DZ101" s="1279"/>
      <c r="EA101" s="1279"/>
      <c r="EB101" s="1279"/>
      <c r="EC101" s="1279"/>
      <c r="ED101" s="1279"/>
      <c r="EE101" s="1279"/>
      <c r="EF101" s="1279"/>
      <c r="EG101" s="1279"/>
      <c r="EH101" s="1279"/>
      <c r="EI101" s="1279"/>
      <c r="EJ101" s="1279"/>
      <c r="EK101" s="1279"/>
      <c r="EL101" s="1279"/>
      <c r="EM101" s="1279"/>
      <c r="EN101" s="1279"/>
      <c r="EO101" s="1279"/>
    </row>
    <row r="102" spans="1:145" ht="18">
      <c r="A102" s="1062" t="s">
        <v>76</v>
      </c>
      <c r="B102" s="1062"/>
      <c r="C102" s="645"/>
      <c r="D102" s="1218"/>
      <c r="F102" s="1219"/>
      <c r="G102" s="1051"/>
      <c r="H102" s="1141"/>
      <c r="I102" s="1003"/>
      <c r="J102" s="1138"/>
      <c r="K102" s="1023"/>
      <c r="L102" s="1137"/>
      <c r="M102" s="1023"/>
      <c r="N102" s="1014"/>
      <c r="O102" s="1060"/>
      <c r="P102" s="1029"/>
      <c r="Q102" s="1029"/>
      <c r="R102" s="1007"/>
      <c r="S102" s="1006"/>
      <c r="T102" s="1006"/>
      <c r="U102" s="1006"/>
      <c r="V102" s="1006"/>
      <c r="W102" s="1006"/>
      <c r="X102" s="1009"/>
      <c r="Y102" s="1006"/>
      <c r="Z102" s="1006"/>
      <c r="AA102" s="1006"/>
      <c r="AB102" s="1006"/>
      <c r="AC102" s="1009"/>
      <c r="AD102" s="1029"/>
      <c r="AE102" s="1029"/>
      <c r="AF102" s="1029"/>
      <c r="AG102" s="1029"/>
      <c r="AH102" s="1009"/>
      <c r="AI102" s="972"/>
      <c r="AJ102" s="1052"/>
      <c r="AK102" s="1052"/>
      <c r="AL102" s="1053"/>
      <c r="AM102" s="1220"/>
      <c r="AN102" s="1054"/>
      <c r="AO102" s="972"/>
      <c r="AP102" s="972"/>
      <c r="AQ102" s="1221"/>
      <c r="AR102" s="1053"/>
      <c r="AS102" s="1220"/>
      <c r="AT102" s="1053"/>
      <c r="AU102" s="1055"/>
      <c r="AV102" s="972"/>
      <c r="AW102" s="972"/>
      <c r="AX102" s="972"/>
      <c r="AY102" s="1056"/>
      <c r="AZ102" s="1056"/>
      <c r="BA102" s="1056"/>
      <c r="BB102" s="1056"/>
      <c r="BC102" s="1056"/>
      <c r="BD102" s="1056"/>
      <c r="BE102" s="1056"/>
      <c r="BF102" s="1056"/>
      <c r="BG102" s="1056"/>
      <c r="BH102" s="1056"/>
      <c r="BI102" s="1056"/>
      <c r="BJ102" s="1056"/>
      <c r="BK102" s="1056"/>
      <c r="BL102" s="1056"/>
      <c r="BM102" s="1056"/>
      <c r="BN102" s="1056"/>
      <c r="BO102" s="1056"/>
      <c r="BP102" s="1056"/>
      <c r="BQ102" s="1056"/>
      <c r="BR102" s="1056"/>
      <c r="BS102" s="1056"/>
      <c r="BT102" s="1056"/>
      <c r="BU102" s="1056"/>
      <c r="BV102" s="1056"/>
      <c r="BW102" s="1056"/>
      <c r="BX102" s="1056"/>
      <c r="BY102" s="1056"/>
      <c r="BZ102" s="1056"/>
      <c r="CA102" s="1056"/>
      <c r="CB102" s="1056"/>
      <c r="CC102" s="1056"/>
      <c r="CD102" s="1056"/>
      <c r="CE102" s="1056"/>
      <c r="CF102" s="1056"/>
      <c r="CG102" s="1056"/>
      <c r="CH102" s="1056"/>
      <c r="CI102" s="1056"/>
      <c r="CJ102" s="1056"/>
      <c r="CK102" s="1056"/>
      <c r="CL102" s="1056"/>
      <c r="CM102" s="1056"/>
      <c r="CN102" s="1056"/>
      <c r="CO102" s="1056"/>
      <c r="CP102" s="1056"/>
      <c r="CQ102" s="1056"/>
      <c r="CR102" s="1056"/>
      <c r="CS102" s="1056"/>
      <c r="CT102" s="1056"/>
      <c r="CU102" s="1056"/>
      <c r="CV102" s="1056"/>
      <c r="CW102" s="1056"/>
      <c r="CX102" s="1056"/>
      <c r="CY102" s="1056"/>
      <c r="CZ102" s="1056"/>
      <c r="DA102" s="1056"/>
      <c r="DB102" s="1056"/>
      <c r="DC102" s="1056"/>
      <c r="DD102" s="1056"/>
      <c r="DE102" s="1056"/>
      <c r="DF102" s="1056"/>
      <c r="DG102" s="1056"/>
      <c r="DH102" s="1056"/>
      <c r="DI102" s="1056"/>
      <c r="DJ102" s="1056"/>
      <c r="DK102" s="1056"/>
      <c r="DL102" s="1056"/>
      <c r="DM102" s="1056"/>
      <c r="DN102" s="1056"/>
      <c r="DO102" s="1056"/>
      <c r="DP102" s="1056"/>
      <c r="DQ102" s="1056"/>
      <c r="DR102" s="1056"/>
      <c r="DS102" s="1056"/>
      <c r="DT102" s="1056"/>
      <c r="DU102" s="1056"/>
      <c r="DV102" s="1056"/>
      <c r="DW102" s="1056"/>
      <c r="DX102" s="1056"/>
      <c r="DY102" s="1056"/>
      <c r="DZ102" s="1056"/>
      <c r="EA102" s="1056"/>
      <c r="EB102" s="1056"/>
      <c r="EC102" s="1056"/>
      <c r="ED102" s="1056"/>
      <c r="EE102" s="1056"/>
      <c r="EF102" s="1056"/>
      <c r="EG102" s="1056"/>
      <c r="EH102" s="1056"/>
      <c r="EI102" s="1056"/>
      <c r="EJ102" s="1056"/>
      <c r="EK102" s="1056"/>
      <c r="EL102" s="1056"/>
      <c r="EM102" s="1056"/>
      <c r="EN102" s="1279"/>
      <c r="EO102" s="1279"/>
    </row>
    <row r="103" spans="1:145" s="972" customFormat="1" ht="30.75">
      <c r="A103" s="985" t="s">
        <v>77</v>
      </c>
      <c r="B103" s="985"/>
      <c r="C103" s="1063"/>
      <c r="D103" s="1158"/>
      <c r="E103" s="987"/>
      <c r="F103" s="1161"/>
      <c r="G103" s="1064"/>
      <c r="H103" s="1171"/>
      <c r="I103" s="988"/>
      <c r="J103" s="1134"/>
      <c r="K103" s="1065"/>
      <c r="L103" s="1142"/>
      <c r="M103" s="1065"/>
      <c r="N103" s="1066"/>
      <c r="O103" s="1067"/>
      <c r="P103" s="1068"/>
      <c r="Q103" s="1068"/>
      <c r="R103" s="991"/>
      <c r="S103" s="990"/>
      <c r="T103" s="990"/>
      <c r="U103" s="990"/>
      <c r="V103" s="990"/>
      <c r="W103" s="990"/>
      <c r="X103" s="1069"/>
      <c r="Y103" s="990"/>
      <c r="Z103" s="990"/>
      <c r="AA103" s="990"/>
      <c r="AB103" s="990"/>
      <c r="AC103" s="1069"/>
      <c r="AD103" s="1068"/>
      <c r="AE103" s="1068"/>
      <c r="AF103" s="1068"/>
      <c r="AG103" s="1068"/>
      <c r="AH103" s="1069"/>
      <c r="AJ103" s="1052"/>
      <c r="AK103" s="1052"/>
      <c r="AL103" s="1053"/>
      <c r="AM103" s="1220"/>
      <c r="AN103" s="1054"/>
      <c r="AQ103" s="1221"/>
      <c r="AR103" s="1053"/>
      <c r="AS103" s="1220"/>
      <c r="AT103" s="1053"/>
      <c r="AU103" s="1055"/>
      <c r="AY103" s="1056"/>
      <c r="AZ103" s="1056"/>
      <c r="BA103" s="1056"/>
      <c r="BB103" s="1056"/>
      <c r="BC103" s="1056"/>
      <c r="BD103" s="1056"/>
      <c r="BE103" s="1056"/>
      <c r="BF103" s="1056"/>
      <c r="BG103" s="1056"/>
      <c r="BH103" s="1056"/>
      <c r="BI103" s="1056"/>
      <c r="BJ103" s="1056"/>
      <c r="BK103" s="1056"/>
      <c r="BL103" s="1056"/>
      <c r="BM103" s="1056"/>
      <c r="BN103" s="1056"/>
      <c r="BO103" s="1056"/>
      <c r="BP103" s="1056"/>
      <c r="BQ103" s="1056"/>
      <c r="BR103" s="1056"/>
      <c r="BS103" s="1056"/>
      <c r="BT103" s="1056"/>
      <c r="BU103" s="1056"/>
      <c r="BV103" s="1056"/>
      <c r="BW103" s="1056"/>
      <c r="BX103" s="1056"/>
      <c r="BY103" s="1056"/>
      <c r="BZ103" s="1056"/>
      <c r="CA103" s="1056"/>
      <c r="CB103" s="1056"/>
      <c r="CC103" s="1056"/>
      <c r="CD103" s="1056"/>
      <c r="CE103" s="1056"/>
      <c r="CF103" s="1056"/>
      <c r="CG103" s="1056"/>
      <c r="CH103" s="1056"/>
      <c r="CI103" s="1056"/>
      <c r="CJ103" s="1056"/>
      <c r="CK103" s="1056"/>
      <c r="CL103" s="1056"/>
      <c r="CM103" s="1056"/>
      <c r="CN103" s="1056"/>
      <c r="CO103" s="1056"/>
      <c r="CP103" s="1056"/>
      <c r="CQ103" s="1056"/>
      <c r="CR103" s="1056"/>
      <c r="CS103" s="1056"/>
      <c r="CT103" s="1056"/>
      <c r="CU103" s="1056"/>
      <c r="CV103" s="1056"/>
      <c r="CW103" s="1056"/>
      <c r="CX103" s="1056"/>
      <c r="CY103" s="1056"/>
      <c r="CZ103" s="1056"/>
      <c r="DA103" s="1056"/>
      <c r="DB103" s="1056"/>
      <c r="DC103" s="1056"/>
      <c r="DD103" s="1056"/>
      <c r="DE103" s="1056"/>
      <c r="DF103" s="1056"/>
      <c r="DG103" s="1056"/>
      <c r="DH103" s="1056"/>
      <c r="DI103" s="1056"/>
      <c r="DJ103" s="1056"/>
      <c r="DK103" s="1056"/>
      <c r="DL103" s="1056"/>
      <c r="DM103" s="1056"/>
      <c r="DN103" s="1056"/>
      <c r="DO103" s="1056"/>
      <c r="DP103" s="1056"/>
      <c r="DQ103" s="1056"/>
      <c r="DR103" s="1056"/>
      <c r="DS103" s="1056"/>
      <c r="DT103" s="1056"/>
      <c r="DU103" s="1056"/>
      <c r="DV103" s="1056"/>
      <c r="DW103" s="1056"/>
      <c r="DX103" s="1056"/>
      <c r="DY103" s="1056"/>
      <c r="DZ103" s="1056"/>
      <c r="EA103" s="1056"/>
      <c r="EB103" s="1056"/>
      <c r="EC103" s="1056"/>
      <c r="ED103" s="1056"/>
      <c r="EE103" s="1056"/>
      <c r="EF103" s="1056"/>
      <c r="EG103" s="1056"/>
      <c r="EH103" s="1056"/>
      <c r="EI103" s="1056"/>
      <c r="EJ103" s="1056"/>
      <c r="EK103" s="1056"/>
      <c r="EL103" s="1056"/>
      <c r="EM103" s="1056"/>
      <c r="EN103" s="1056"/>
      <c r="EO103" s="1056"/>
    </row>
    <row r="104" spans="1:145" s="1287" customFormat="1" ht="15">
      <c r="A104" s="1011" t="s">
        <v>136</v>
      </c>
      <c r="B104" s="1028">
        <v>126</v>
      </c>
      <c r="C104" s="645">
        <f>'Line Item Descriptions'!F103</f>
        <v>51399</v>
      </c>
      <c r="D104" s="1218">
        <v>50000</v>
      </c>
      <c r="E104" s="1001">
        <f>Number_of_Districts</f>
        <v>174</v>
      </c>
      <c r="F104" s="1219">
        <v>175</v>
      </c>
      <c r="G104" s="1051"/>
      <c r="H104" s="1141"/>
      <c r="I104" s="1003">
        <f>K104/E104</f>
        <v>51399</v>
      </c>
      <c r="J104" s="1138">
        <v>50000</v>
      </c>
      <c r="K104" s="1002">
        <f>P104/BudgetYears</f>
        <v>8943426</v>
      </c>
      <c r="L104" s="1136">
        <v>8750000</v>
      </c>
      <c r="M104" s="1002">
        <f>'TAR Numbers'!BX11+'TAR Numbers'!BY11</f>
        <v>9425310.88</v>
      </c>
      <c r="N104" s="1014">
        <v>1</v>
      </c>
      <c r="O104" s="1015">
        <v>0</v>
      </c>
      <c r="P104" s="1006">
        <f>(C104*E104)*(BudgetYears/N104)</f>
        <v>53660556</v>
      </c>
      <c r="Q104" s="1006">
        <f>(P104)-(O104*3)</f>
        <v>53660556</v>
      </c>
      <c r="R104" s="1007" t="s">
        <v>18</v>
      </c>
      <c r="S104" s="1006">
        <f aca="true" t="shared" si="51" ref="S104:S109">IF($R104="S/L or L",$P104,0)</f>
        <v>53660556</v>
      </c>
      <c r="T104" s="1006">
        <f aca="true" t="shared" si="52" ref="T104:T109">IF($R104="L",$P104,0)</f>
        <v>0</v>
      </c>
      <c r="U104" s="1006">
        <f aca="true" t="shared" si="53" ref="U104:U109">IF($R104="S",$P104,0)</f>
        <v>0</v>
      </c>
      <c r="V104" s="1006">
        <f aca="true" t="shared" si="54" ref="V104:V109">IF($R104="F",$P104,0)</f>
        <v>0</v>
      </c>
      <c r="W104" s="1006">
        <f aca="true" t="shared" si="55" ref="W104:W109">SUM(S104:V104)</f>
        <v>53660556</v>
      </c>
      <c r="X104" s="1008"/>
      <c r="Y104" s="1006">
        <f aca="true" t="shared" si="56" ref="Y104:Y109">IF($R104="S/L or L",$K104,0)</f>
        <v>8943426</v>
      </c>
      <c r="Z104" s="1006">
        <f aca="true" t="shared" si="57" ref="Z104:Z109">IF($R104="L",$K104,0)</f>
        <v>0</v>
      </c>
      <c r="AA104" s="1006">
        <f aca="true" t="shared" si="58" ref="AA104:AA109">IF($R104="S",$K104,0)</f>
        <v>0</v>
      </c>
      <c r="AB104" s="1006">
        <f aca="true" t="shared" si="59" ref="AB104:AB109">IF($R104="F",$K104,0)</f>
        <v>0</v>
      </c>
      <c r="AC104" s="1009">
        <f aca="true" t="shared" si="60" ref="AC104:AC109">SUM(Y104:AB104)</f>
        <v>8943426</v>
      </c>
      <c r="AD104" s="1006">
        <f aca="true" t="shared" si="61" ref="AD104:AD109">IF($R104="S/L or L",$O104,0)</f>
        <v>0</v>
      </c>
      <c r="AE104" s="1006">
        <f aca="true" t="shared" si="62" ref="AE104:AE109">IF($R104="L",$O104,0)</f>
        <v>0</v>
      </c>
      <c r="AF104" s="1006">
        <f aca="true" t="shared" si="63" ref="AF104:AF109">IF($R104="S",$O104,0)</f>
        <v>0</v>
      </c>
      <c r="AG104" s="1006">
        <f aca="true" t="shared" si="64" ref="AG104:AG109">IF($R104="F",$O104,0)</f>
        <v>0</v>
      </c>
      <c r="AH104" s="1009">
        <f aca="true" t="shared" si="65" ref="AH104:AH109">SUM(AD104:AG104)</f>
        <v>0</v>
      </c>
      <c r="AI104" s="972"/>
      <c r="AJ104" s="1052"/>
      <c r="AK104" s="1052"/>
      <c r="AL104" s="1053"/>
      <c r="AM104" s="1220"/>
      <c r="AN104" s="1054"/>
      <c r="AO104" s="972"/>
      <c r="AP104" s="972"/>
      <c r="AQ104" s="1221"/>
      <c r="AR104" s="1053"/>
      <c r="AS104" s="1220"/>
      <c r="AT104" s="1053"/>
      <c r="AU104" s="1055"/>
      <c r="AV104" s="972"/>
      <c r="AW104" s="972"/>
      <c r="AX104" s="972"/>
      <c r="AY104" s="1056"/>
      <c r="AZ104" s="1056"/>
      <c r="BA104" s="1056"/>
      <c r="BB104" s="1056"/>
      <c r="BC104" s="1056"/>
      <c r="BD104" s="1056"/>
      <c r="BE104" s="1056"/>
      <c r="BF104" s="1056"/>
      <c r="BG104" s="1056"/>
      <c r="BH104" s="1056"/>
      <c r="BI104" s="1056"/>
      <c r="BJ104" s="1056"/>
      <c r="BK104" s="1056"/>
      <c r="BL104" s="1056"/>
      <c r="BM104" s="1056"/>
      <c r="BN104" s="1056"/>
      <c r="BO104" s="1056"/>
      <c r="BP104" s="1056"/>
      <c r="BQ104" s="1056"/>
      <c r="BR104" s="1056"/>
      <c r="BS104" s="1056"/>
      <c r="BT104" s="1056"/>
      <c r="BU104" s="1056"/>
      <c r="BV104" s="1056"/>
      <c r="BW104" s="1056"/>
      <c r="BX104" s="1056"/>
      <c r="BY104" s="1056"/>
      <c r="BZ104" s="1056"/>
      <c r="CA104" s="1056"/>
      <c r="CB104" s="1056"/>
      <c r="CC104" s="1056"/>
      <c r="CD104" s="1056"/>
      <c r="CE104" s="1056"/>
      <c r="CF104" s="1056"/>
      <c r="CG104" s="1056"/>
      <c r="CH104" s="1056"/>
      <c r="CI104" s="1056"/>
      <c r="CJ104" s="1056"/>
      <c r="CK104" s="1056"/>
      <c r="CL104" s="1056"/>
      <c r="CM104" s="1056"/>
      <c r="CN104" s="1056"/>
      <c r="CO104" s="1056"/>
      <c r="CP104" s="1056"/>
      <c r="CQ104" s="1056"/>
      <c r="CR104" s="1056"/>
      <c r="CS104" s="1056"/>
      <c r="CT104" s="1056"/>
      <c r="CU104" s="1056"/>
      <c r="CV104" s="1056"/>
      <c r="CW104" s="1056"/>
      <c r="CX104" s="1056"/>
      <c r="CY104" s="1056"/>
      <c r="CZ104" s="1056"/>
      <c r="DA104" s="1056"/>
      <c r="DB104" s="1056"/>
      <c r="DC104" s="1056"/>
      <c r="DD104" s="1056"/>
      <c r="DE104" s="1056"/>
      <c r="DF104" s="1056"/>
      <c r="DG104" s="1056"/>
      <c r="DH104" s="1056"/>
      <c r="DI104" s="1056"/>
      <c r="DJ104" s="1056"/>
      <c r="DK104" s="1056"/>
      <c r="DL104" s="1056"/>
      <c r="DM104" s="1056"/>
      <c r="DN104" s="1056"/>
      <c r="DO104" s="1056"/>
      <c r="DP104" s="1056"/>
      <c r="DQ104" s="1056"/>
      <c r="DR104" s="1056"/>
      <c r="DS104" s="1056"/>
      <c r="DT104" s="1056"/>
      <c r="DU104" s="1056"/>
      <c r="DV104" s="1056"/>
      <c r="DW104" s="1056"/>
      <c r="DX104" s="1056"/>
      <c r="DY104" s="1056"/>
      <c r="DZ104" s="1056"/>
      <c r="EA104" s="1056"/>
      <c r="EB104" s="1056"/>
      <c r="EC104" s="1056"/>
      <c r="ED104" s="1056"/>
      <c r="EE104" s="1056"/>
      <c r="EF104" s="1056"/>
      <c r="EG104" s="1056"/>
      <c r="EH104" s="1056"/>
      <c r="EI104" s="1056"/>
      <c r="EJ104" s="1056"/>
      <c r="EK104" s="1056"/>
      <c r="EL104" s="1056"/>
      <c r="EM104" s="1056"/>
      <c r="EN104" s="1279"/>
      <c r="EO104" s="1279"/>
    </row>
    <row r="105" spans="1:145" ht="15">
      <c r="A105" s="1011" t="s">
        <v>889</v>
      </c>
      <c r="B105" s="1028">
        <v>127</v>
      </c>
      <c r="C105" s="645">
        <f>'Line Item Descriptions'!F104</f>
        <v>291</v>
      </c>
      <c r="D105" s="1218">
        <v>3677</v>
      </c>
      <c r="E105" s="1001">
        <f>Number_of_Schools</f>
        <v>1247</v>
      </c>
      <c r="F105" s="1219">
        <v>1372</v>
      </c>
      <c r="G105" s="1051"/>
      <c r="H105" s="1141"/>
      <c r="I105" s="1003">
        <f>K105/E105</f>
        <v>291</v>
      </c>
      <c r="J105" s="1138">
        <v>3677</v>
      </c>
      <c r="K105" s="1002">
        <f>P105/BudgetYears</f>
        <v>362877</v>
      </c>
      <c r="L105" s="1136">
        <v>5044844</v>
      </c>
      <c r="M105" s="1002">
        <f>'TAR Numbers'!BZ10+'TAR Numbers'!CA10</f>
        <v>380913.345</v>
      </c>
      <c r="N105" s="1014">
        <v>1</v>
      </c>
      <c r="O105" s="1015">
        <v>0</v>
      </c>
      <c r="P105" s="1006">
        <f>(C105*E105)*(BudgetYears/N105)</f>
        <v>2177262</v>
      </c>
      <c r="Q105" s="1006">
        <f>(P105)-(O105*3)</f>
        <v>2177262</v>
      </c>
      <c r="R105" s="1007" t="s">
        <v>18</v>
      </c>
      <c r="S105" s="1006">
        <f t="shared" si="51"/>
        <v>2177262</v>
      </c>
      <c r="T105" s="1006">
        <f t="shared" si="52"/>
        <v>0</v>
      </c>
      <c r="U105" s="1006">
        <f t="shared" si="53"/>
        <v>0</v>
      </c>
      <c r="V105" s="1006">
        <f t="shared" si="54"/>
        <v>0</v>
      </c>
      <c r="W105" s="1006">
        <f t="shared" si="55"/>
        <v>2177262</v>
      </c>
      <c r="X105" s="1008"/>
      <c r="Y105" s="1006">
        <f t="shared" si="56"/>
        <v>362877</v>
      </c>
      <c r="Z105" s="1006">
        <f t="shared" si="57"/>
        <v>0</v>
      </c>
      <c r="AA105" s="1006">
        <f t="shared" si="58"/>
        <v>0</v>
      </c>
      <c r="AB105" s="1006">
        <f t="shared" si="59"/>
        <v>0</v>
      </c>
      <c r="AC105" s="1009">
        <f t="shared" si="60"/>
        <v>362877</v>
      </c>
      <c r="AD105" s="1006">
        <f t="shared" si="61"/>
        <v>0</v>
      </c>
      <c r="AE105" s="1006">
        <f t="shared" si="62"/>
        <v>0</v>
      </c>
      <c r="AF105" s="1006">
        <f t="shared" si="63"/>
        <v>0</v>
      </c>
      <c r="AG105" s="1006">
        <f t="shared" si="64"/>
        <v>0</v>
      </c>
      <c r="AH105" s="1009">
        <f t="shared" si="65"/>
        <v>0</v>
      </c>
      <c r="AI105" s="972"/>
      <c r="AJ105" s="1052"/>
      <c r="AK105" s="1052"/>
      <c r="AL105" s="1053"/>
      <c r="AM105" s="1220"/>
      <c r="AN105" s="1054"/>
      <c r="AO105" s="972"/>
      <c r="AP105" s="972"/>
      <c r="AQ105" s="1221"/>
      <c r="AR105" s="1053"/>
      <c r="AS105" s="1220"/>
      <c r="AT105" s="1053"/>
      <c r="AU105" s="1055"/>
      <c r="AV105" s="972"/>
      <c r="AW105" s="972"/>
      <c r="AX105" s="972"/>
      <c r="AY105" s="1056"/>
      <c r="AZ105" s="1056"/>
      <c r="BA105" s="1056"/>
      <c r="BB105" s="1056"/>
      <c r="BC105" s="1056"/>
      <c r="BD105" s="1056"/>
      <c r="BE105" s="1056"/>
      <c r="BF105" s="1056"/>
      <c r="BG105" s="1056"/>
      <c r="BH105" s="1056"/>
      <c r="BI105" s="1056"/>
      <c r="BJ105" s="1056"/>
      <c r="BK105" s="1056"/>
      <c r="BL105" s="1056"/>
      <c r="BM105" s="1056"/>
      <c r="BN105" s="1056"/>
      <c r="BO105" s="1056"/>
      <c r="BP105" s="1056"/>
      <c r="BQ105" s="1056"/>
      <c r="BR105" s="1056"/>
      <c r="BS105" s="1056"/>
      <c r="BT105" s="1056"/>
      <c r="BU105" s="1056"/>
      <c r="BV105" s="1056"/>
      <c r="BW105" s="1056"/>
      <c r="BX105" s="1056"/>
      <c r="BY105" s="1056"/>
      <c r="BZ105" s="1056"/>
      <c r="CA105" s="1056"/>
      <c r="CB105" s="1056"/>
      <c r="CC105" s="1056"/>
      <c r="CD105" s="1056"/>
      <c r="CE105" s="1056"/>
      <c r="CF105" s="1056"/>
      <c r="CG105" s="1056"/>
      <c r="CH105" s="1056"/>
      <c r="CI105" s="1056"/>
      <c r="CJ105" s="1056"/>
      <c r="CK105" s="1056"/>
      <c r="CL105" s="1056"/>
      <c r="CM105" s="1056"/>
      <c r="CN105" s="1056"/>
      <c r="CO105" s="1056"/>
      <c r="CP105" s="1056"/>
      <c r="CQ105" s="1056"/>
      <c r="CR105" s="1056"/>
      <c r="CS105" s="1056"/>
      <c r="CT105" s="1056"/>
      <c r="CU105" s="1056"/>
      <c r="CV105" s="1056"/>
      <c r="CW105" s="1056"/>
      <c r="CX105" s="1056"/>
      <c r="CY105" s="1056"/>
      <c r="CZ105" s="1056"/>
      <c r="DA105" s="1056"/>
      <c r="DB105" s="1056"/>
      <c r="DC105" s="1056"/>
      <c r="DD105" s="1056"/>
      <c r="DE105" s="1056"/>
      <c r="DF105" s="1056"/>
      <c r="DG105" s="1056"/>
      <c r="DH105" s="1056"/>
      <c r="DI105" s="1056"/>
      <c r="DJ105" s="1056"/>
      <c r="DK105" s="1056"/>
      <c r="DL105" s="1056"/>
      <c r="DM105" s="1056"/>
      <c r="DN105" s="1056"/>
      <c r="DO105" s="1056"/>
      <c r="DP105" s="1056"/>
      <c r="DQ105" s="1056"/>
      <c r="DR105" s="1056"/>
      <c r="DS105" s="1056"/>
      <c r="DT105" s="1056"/>
      <c r="DU105" s="1056"/>
      <c r="DV105" s="1056"/>
      <c r="DW105" s="1056"/>
      <c r="DX105" s="1056"/>
      <c r="DY105" s="1056"/>
      <c r="DZ105" s="1056"/>
      <c r="EA105" s="1056"/>
      <c r="EB105" s="1056"/>
      <c r="EC105" s="1056"/>
      <c r="ED105" s="1056"/>
      <c r="EE105" s="1056"/>
      <c r="EF105" s="1056"/>
      <c r="EG105" s="1056"/>
      <c r="EH105" s="1056"/>
      <c r="EI105" s="1056"/>
      <c r="EJ105" s="1056"/>
      <c r="EK105" s="1056"/>
      <c r="EL105" s="1056"/>
      <c r="EM105" s="1056"/>
      <c r="EN105" s="1279"/>
      <c r="EO105" s="1279"/>
    </row>
    <row r="106" spans="1:145" s="1010" customFormat="1" ht="15">
      <c r="A106" s="1011"/>
      <c r="B106" s="1028"/>
      <c r="C106" s="645"/>
      <c r="D106" s="1218"/>
      <c r="E106" s="1001"/>
      <c r="F106" s="1219"/>
      <c r="G106" s="1003"/>
      <c r="H106" s="1138"/>
      <c r="I106" s="1003"/>
      <c r="J106" s="1138"/>
      <c r="K106" s="1002"/>
      <c r="L106" s="1136"/>
      <c r="M106" s="1002"/>
      <c r="N106" s="1014"/>
      <c r="O106" s="1015"/>
      <c r="P106" s="1006"/>
      <c r="Q106" s="1006"/>
      <c r="R106" s="1007"/>
      <c r="S106" s="1006"/>
      <c r="T106" s="1006"/>
      <c r="U106" s="1006"/>
      <c r="V106" s="1006"/>
      <c r="W106" s="1006"/>
      <c r="X106" s="1008"/>
      <c r="Y106" s="1006"/>
      <c r="Z106" s="1006"/>
      <c r="AA106" s="1006"/>
      <c r="AB106" s="1006"/>
      <c r="AC106" s="1008"/>
      <c r="AD106" s="1006"/>
      <c r="AE106" s="1006"/>
      <c r="AF106" s="1006"/>
      <c r="AG106" s="1006"/>
      <c r="AH106" s="1008"/>
      <c r="AJ106" s="1011" t="s">
        <v>890</v>
      </c>
      <c r="AK106" s="1011">
        <v>127</v>
      </c>
      <c r="AL106" s="863">
        <f>'Line Item Descriptions'!F235</f>
        <v>4709</v>
      </c>
      <c r="AM106" s="1177">
        <v>1323</v>
      </c>
      <c r="AN106" s="1012">
        <f>Number_of_Schools</f>
        <v>1247</v>
      </c>
      <c r="AQ106" s="1209">
        <v>1372</v>
      </c>
      <c r="AR106" s="863">
        <f>SUM(AL106/AU106)*AN106</f>
        <v>5872123</v>
      </c>
      <c r="AS106" s="1177">
        <v>1815156</v>
      </c>
      <c r="AT106" s="863"/>
      <c r="AU106" s="1007">
        <v>1</v>
      </c>
      <c r="AY106" s="994"/>
      <c r="AZ106" s="994"/>
      <c r="BA106" s="994"/>
      <c r="BB106" s="994"/>
      <c r="BC106" s="994"/>
      <c r="BD106" s="994"/>
      <c r="BE106" s="994"/>
      <c r="BF106" s="994"/>
      <c r="BG106" s="994"/>
      <c r="BH106" s="994"/>
      <c r="BI106" s="994"/>
      <c r="BJ106" s="994"/>
      <c r="BK106" s="994"/>
      <c r="BL106" s="994"/>
      <c r="BM106" s="994"/>
      <c r="BN106" s="994"/>
      <c r="BO106" s="994"/>
      <c r="BP106" s="994"/>
      <c r="BQ106" s="994"/>
      <c r="BR106" s="994"/>
      <c r="BS106" s="994"/>
      <c r="BT106" s="994"/>
      <c r="BU106" s="994"/>
      <c r="BV106" s="994"/>
      <c r="BW106" s="994"/>
      <c r="BX106" s="994"/>
      <c r="BY106" s="994"/>
      <c r="BZ106" s="994"/>
      <c r="CA106" s="994"/>
      <c r="CB106" s="994"/>
      <c r="CC106" s="994"/>
      <c r="CD106" s="994"/>
      <c r="CE106" s="994"/>
      <c r="CF106" s="994"/>
      <c r="CG106" s="994"/>
      <c r="CH106" s="994"/>
      <c r="CI106" s="994"/>
      <c r="CJ106" s="994"/>
      <c r="CK106" s="994"/>
      <c r="CL106" s="994"/>
      <c r="CM106" s="994"/>
      <c r="CN106" s="994"/>
      <c r="CO106" s="994"/>
      <c r="CP106" s="994"/>
      <c r="CQ106" s="994"/>
      <c r="CR106" s="994"/>
      <c r="CS106" s="994"/>
      <c r="CT106" s="994"/>
      <c r="CU106" s="994"/>
      <c r="CV106" s="994"/>
      <c r="CW106" s="994"/>
      <c r="CX106" s="994"/>
      <c r="CY106" s="994"/>
      <c r="CZ106" s="994"/>
      <c r="DA106" s="994"/>
      <c r="DB106" s="994"/>
      <c r="DC106" s="994"/>
      <c r="DD106" s="994"/>
      <c r="DE106" s="994"/>
      <c r="DF106" s="994"/>
      <c r="DG106" s="994"/>
      <c r="DH106" s="994"/>
      <c r="DI106" s="994"/>
      <c r="DJ106" s="994"/>
      <c r="DK106" s="994"/>
      <c r="DL106" s="994"/>
      <c r="DM106" s="994"/>
      <c r="DN106" s="994"/>
      <c r="DO106" s="994"/>
      <c r="DP106" s="994"/>
      <c r="DQ106" s="994"/>
      <c r="DR106" s="994"/>
      <c r="DS106" s="994"/>
      <c r="DT106" s="994"/>
      <c r="DU106" s="994"/>
      <c r="DV106" s="994"/>
      <c r="DW106" s="994"/>
      <c r="DX106" s="994"/>
      <c r="DY106" s="994"/>
      <c r="DZ106" s="994"/>
      <c r="EA106" s="994"/>
      <c r="EB106" s="994"/>
      <c r="EC106" s="994"/>
      <c r="ED106" s="994"/>
      <c r="EE106" s="994"/>
      <c r="EF106" s="994"/>
      <c r="EG106" s="994"/>
      <c r="EH106" s="994"/>
      <c r="EI106" s="994"/>
      <c r="EJ106" s="994"/>
      <c r="EK106" s="994"/>
      <c r="EL106" s="994"/>
      <c r="EM106" s="994"/>
      <c r="EN106" s="994"/>
      <c r="EO106" s="994"/>
    </row>
    <row r="107" spans="1:145" s="1010" customFormat="1" ht="15">
      <c r="A107" s="1011" t="s">
        <v>891</v>
      </c>
      <c r="B107" s="1028">
        <v>50</v>
      </c>
      <c r="C107" s="645">
        <f>'Line Item Descriptions'!F106</f>
        <v>9420</v>
      </c>
      <c r="D107" s="1218">
        <v>9420</v>
      </c>
      <c r="E107" s="1001">
        <f>Number_of_Schools</f>
        <v>1247</v>
      </c>
      <c r="F107" s="1219">
        <v>1372</v>
      </c>
      <c r="G107" s="1003"/>
      <c r="H107" s="1138"/>
      <c r="I107" s="1003"/>
      <c r="J107" s="1138"/>
      <c r="K107" s="1002">
        <f>SUM(C107*E107)/N107</f>
        <v>11746740</v>
      </c>
      <c r="L107" s="1136">
        <v>12924240</v>
      </c>
      <c r="M107" s="1002">
        <f>'TAR Numbers'!CB10+'TAR Numbers'!CC10+'TAR Numbers'!CD10+'TAR Numbers'!CE10</f>
        <v>3172292.165</v>
      </c>
      <c r="N107" s="1014">
        <v>1</v>
      </c>
      <c r="O107" s="1015"/>
      <c r="P107" s="1006"/>
      <c r="Q107" s="1006"/>
      <c r="R107" s="1007" t="s">
        <v>83</v>
      </c>
      <c r="S107" s="1006"/>
      <c r="T107" s="1006"/>
      <c r="U107" s="1006"/>
      <c r="V107" s="1006"/>
      <c r="W107" s="1006"/>
      <c r="X107" s="1008"/>
      <c r="Y107" s="1006"/>
      <c r="Z107" s="1006"/>
      <c r="AA107" s="1006"/>
      <c r="AB107" s="1006"/>
      <c r="AC107" s="1008"/>
      <c r="AD107" s="1006"/>
      <c r="AE107" s="1006"/>
      <c r="AF107" s="1006"/>
      <c r="AG107" s="1006"/>
      <c r="AH107" s="1008"/>
      <c r="AJ107" s="1011"/>
      <c r="AK107" s="1011"/>
      <c r="AL107" s="863"/>
      <c r="AM107" s="1177"/>
      <c r="AN107" s="1012"/>
      <c r="AQ107" s="1209"/>
      <c r="AR107" s="863"/>
      <c r="AS107" s="1177"/>
      <c r="AT107" s="863"/>
      <c r="AU107" s="1007"/>
      <c r="AY107" s="994"/>
      <c r="AZ107" s="994"/>
      <c r="BA107" s="994"/>
      <c r="BB107" s="994"/>
      <c r="BC107" s="994"/>
      <c r="BD107" s="994"/>
      <c r="BE107" s="994"/>
      <c r="BF107" s="994"/>
      <c r="BG107" s="994"/>
      <c r="BH107" s="994"/>
      <c r="BI107" s="994"/>
      <c r="BJ107" s="994"/>
      <c r="BK107" s="994"/>
      <c r="BL107" s="994"/>
      <c r="BM107" s="994"/>
      <c r="BN107" s="994"/>
      <c r="BO107" s="994"/>
      <c r="BP107" s="994"/>
      <c r="BQ107" s="994"/>
      <c r="BR107" s="994"/>
      <c r="BS107" s="994"/>
      <c r="BT107" s="994"/>
      <c r="BU107" s="994"/>
      <c r="BV107" s="994"/>
      <c r="BW107" s="994"/>
      <c r="BX107" s="994"/>
      <c r="BY107" s="994"/>
      <c r="BZ107" s="994"/>
      <c r="CA107" s="994"/>
      <c r="CB107" s="994"/>
      <c r="CC107" s="994"/>
      <c r="CD107" s="994"/>
      <c r="CE107" s="994"/>
      <c r="CF107" s="994"/>
      <c r="CG107" s="994"/>
      <c r="CH107" s="994"/>
      <c r="CI107" s="994"/>
      <c r="CJ107" s="994"/>
      <c r="CK107" s="994"/>
      <c r="CL107" s="994"/>
      <c r="CM107" s="994"/>
      <c r="CN107" s="994"/>
      <c r="CO107" s="994"/>
      <c r="CP107" s="994"/>
      <c r="CQ107" s="994"/>
      <c r="CR107" s="994"/>
      <c r="CS107" s="994"/>
      <c r="CT107" s="994"/>
      <c r="CU107" s="994"/>
      <c r="CV107" s="994"/>
      <c r="CW107" s="994"/>
      <c r="CX107" s="994"/>
      <c r="CY107" s="994"/>
      <c r="CZ107" s="994"/>
      <c r="DA107" s="994"/>
      <c r="DB107" s="994"/>
      <c r="DC107" s="994"/>
      <c r="DD107" s="994"/>
      <c r="DE107" s="994"/>
      <c r="DF107" s="994"/>
      <c r="DG107" s="994"/>
      <c r="DH107" s="994"/>
      <c r="DI107" s="994"/>
      <c r="DJ107" s="994"/>
      <c r="DK107" s="994"/>
      <c r="DL107" s="994"/>
      <c r="DM107" s="994"/>
      <c r="DN107" s="994"/>
      <c r="DO107" s="994"/>
      <c r="DP107" s="994"/>
      <c r="DQ107" s="994"/>
      <c r="DR107" s="994"/>
      <c r="DS107" s="994"/>
      <c r="DT107" s="994"/>
      <c r="DU107" s="994"/>
      <c r="DV107" s="994"/>
      <c r="DW107" s="994"/>
      <c r="DX107" s="994"/>
      <c r="DY107" s="994"/>
      <c r="DZ107" s="994"/>
      <c r="EA107" s="994"/>
      <c r="EB107" s="994"/>
      <c r="EC107" s="994"/>
      <c r="ED107" s="994"/>
      <c r="EE107" s="994"/>
      <c r="EF107" s="994"/>
      <c r="EG107" s="994"/>
      <c r="EH107" s="994"/>
      <c r="EI107" s="994"/>
      <c r="EJ107" s="994"/>
      <c r="EK107" s="994"/>
      <c r="EL107" s="994"/>
      <c r="EM107" s="994"/>
      <c r="EN107" s="994"/>
      <c r="EO107" s="994"/>
    </row>
    <row r="108" spans="1:145" s="972" customFormat="1" ht="15">
      <c r="A108" s="1011" t="s">
        <v>892</v>
      </c>
      <c r="B108" s="1028">
        <v>50</v>
      </c>
      <c r="C108" s="645">
        <f>'Line Item Descriptions'!F107</f>
        <v>480</v>
      </c>
      <c r="D108" s="1218">
        <v>480</v>
      </c>
      <c r="E108" s="1001">
        <f>Number_of_Classrooms/10</f>
        <v>4293.9</v>
      </c>
      <c r="F108" s="1219">
        <v>4728.625</v>
      </c>
      <c r="G108" s="1047"/>
      <c r="H108" s="1170"/>
      <c r="I108" s="1003">
        <f>K108/E108</f>
        <v>480</v>
      </c>
      <c r="J108" s="1138">
        <v>480</v>
      </c>
      <c r="K108" s="1002">
        <f>P108/BudgetYears</f>
        <v>2061071.9999999998</v>
      </c>
      <c r="L108" s="1136">
        <v>2269740</v>
      </c>
      <c r="M108" s="1002">
        <f>'TAR Numbers'!CF10+'TAR Numbers'!CG10</f>
        <v>2271764.75</v>
      </c>
      <c r="N108" s="1014">
        <v>1</v>
      </c>
      <c r="O108" s="1015">
        <f>(USFInternal)*K108</f>
        <v>1442750.3999999997</v>
      </c>
      <c r="P108" s="1006">
        <f>(C108*E108)*(BudgetYears/N108)</f>
        <v>12366431.999999998</v>
      </c>
      <c r="Q108" s="1006">
        <f>(P108)-(O108*3)</f>
        <v>8038180.799999999</v>
      </c>
      <c r="R108" s="1007" t="s">
        <v>83</v>
      </c>
      <c r="S108" s="1006">
        <f t="shared" si="51"/>
        <v>0</v>
      </c>
      <c r="T108" s="1006">
        <f t="shared" si="52"/>
        <v>12366431.999999998</v>
      </c>
      <c r="U108" s="1006">
        <f t="shared" si="53"/>
        <v>0</v>
      </c>
      <c r="V108" s="1006">
        <f t="shared" si="54"/>
        <v>0</v>
      </c>
      <c r="W108" s="1006">
        <f t="shared" si="55"/>
        <v>12366431.999999998</v>
      </c>
      <c r="X108" s="1008"/>
      <c r="Y108" s="1006">
        <f t="shared" si="56"/>
        <v>0</v>
      </c>
      <c r="Z108" s="1006">
        <f t="shared" si="57"/>
        <v>2061071.9999999998</v>
      </c>
      <c r="AA108" s="1006">
        <f t="shared" si="58"/>
        <v>0</v>
      </c>
      <c r="AB108" s="1006">
        <f t="shared" si="59"/>
        <v>0</v>
      </c>
      <c r="AC108" s="1009">
        <f t="shared" si="60"/>
        <v>2061071.9999999998</v>
      </c>
      <c r="AD108" s="1006">
        <f t="shared" si="61"/>
        <v>0</v>
      </c>
      <c r="AE108" s="1006">
        <f t="shared" si="62"/>
        <v>1442750.3999999997</v>
      </c>
      <c r="AF108" s="1006">
        <f t="shared" si="63"/>
        <v>0</v>
      </c>
      <c r="AG108" s="1006">
        <f t="shared" si="64"/>
        <v>0</v>
      </c>
      <c r="AH108" s="1009">
        <f t="shared" si="65"/>
        <v>1442750.3999999997</v>
      </c>
      <c r="AI108" s="1070"/>
      <c r="AJ108" s="1071"/>
      <c r="AK108" s="1071"/>
      <c r="AL108" s="1072"/>
      <c r="AM108" s="1178"/>
      <c r="AN108" s="1073"/>
      <c r="AO108" s="1070"/>
      <c r="AP108" s="1070"/>
      <c r="AQ108" s="1211"/>
      <c r="AR108" s="1072"/>
      <c r="AS108" s="1178"/>
      <c r="AT108" s="1072"/>
      <c r="AU108" s="1074"/>
      <c r="AV108" s="1070"/>
      <c r="AW108" s="1070"/>
      <c r="AX108" s="1070"/>
      <c r="AY108" s="1056"/>
      <c r="AZ108" s="1056"/>
      <c r="BA108" s="1056"/>
      <c r="BB108" s="1056"/>
      <c r="BC108" s="1056"/>
      <c r="BD108" s="1056"/>
      <c r="BE108" s="1056"/>
      <c r="BF108" s="1056"/>
      <c r="BG108" s="1056"/>
      <c r="BH108" s="1056"/>
      <c r="BI108" s="1056"/>
      <c r="BJ108" s="1056"/>
      <c r="BK108" s="1056"/>
      <c r="BL108" s="1056"/>
      <c r="BM108" s="1056"/>
      <c r="BN108" s="1056"/>
      <c r="BO108" s="1056"/>
      <c r="BP108" s="1056"/>
      <c r="BQ108" s="1056"/>
      <c r="BR108" s="1056"/>
      <c r="BS108" s="1056"/>
      <c r="BT108" s="1056"/>
      <c r="BU108" s="1056"/>
      <c r="BV108" s="1056"/>
      <c r="BW108" s="1056"/>
      <c r="BX108" s="1056"/>
      <c r="BY108" s="1056"/>
      <c r="BZ108" s="1056"/>
      <c r="CA108" s="1056"/>
      <c r="CB108" s="1056"/>
      <c r="CC108" s="1056"/>
      <c r="CD108" s="1056"/>
      <c r="CE108" s="1056"/>
      <c r="CF108" s="1056"/>
      <c r="CG108" s="1056"/>
      <c r="CH108" s="1056"/>
      <c r="CI108" s="1056"/>
      <c r="CJ108" s="1056"/>
      <c r="CK108" s="1056"/>
      <c r="CL108" s="1056"/>
      <c r="CM108" s="1056"/>
      <c r="CN108" s="1056"/>
      <c r="CO108" s="1056"/>
      <c r="CP108" s="1056"/>
      <c r="CQ108" s="1056"/>
      <c r="CR108" s="1056"/>
      <c r="CS108" s="1056"/>
      <c r="CT108" s="1056"/>
      <c r="CU108" s="1056"/>
      <c r="CV108" s="1056"/>
      <c r="CW108" s="1056"/>
      <c r="CX108" s="1056"/>
      <c r="CY108" s="1056"/>
      <c r="CZ108" s="1056"/>
      <c r="DA108" s="1056"/>
      <c r="DB108" s="1056"/>
      <c r="DC108" s="1056"/>
      <c r="DD108" s="1056"/>
      <c r="DE108" s="1056"/>
      <c r="DF108" s="1056"/>
      <c r="DG108" s="1056"/>
      <c r="DH108" s="1056"/>
      <c r="DI108" s="1056"/>
      <c r="DJ108" s="1056"/>
      <c r="DK108" s="1056"/>
      <c r="DL108" s="1056"/>
      <c r="DM108" s="1056"/>
      <c r="DN108" s="1056"/>
      <c r="DO108" s="1056"/>
      <c r="DP108" s="1056"/>
      <c r="DQ108" s="1056"/>
      <c r="DR108" s="1056"/>
      <c r="DS108" s="1056"/>
      <c r="DT108" s="1056"/>
      <c r="DU108" s="1056"/>
      <c r="DV108" s="1056"/>
      <c r="DW108" s="1056"/>
      <c r="DX108" s="1056"/>
      <c r="DY108" s="1056"/>
      <c r="DZ108" s="1056"/>
      <c r="EA108" s="1056"/>
      <c r="EB108" s="1056"/>
      <c r="EC108" s="1056"/>
      <c r="ED108" s="1056"/>
      <c r="EE108" s="1056"/>
      <c r="EF108" s="1056"/>
      <c r="EG108" s="1056"/>
      <c r="EH108" s="1056"/>
      <c r="EI108" s="1056"/>
      <c r="EJ108" s="1056"/>
      <c r="EK108" s="1056"/>
      <c r="EL108" s="1056"/>
      <c r="EM108" s="1056"/>
      <c r="EN108" s="1056"/>
      <c r="EO108" s="1056"/>
    </row>
    <row r="109" spans="1:145" s="972" customFormat="1" ht="15">
      <c r="A109" s="1011"/>
      <c r="B109" s="1028"/>
      <c r="C109" s="645"/>
      <c r="D109" s="1218"/>
      <c r="E109" s="1017"/>
      <c r="F109" s="1168"/>
      <c r="G109" s="1051"/>
      <c r="H109" s="1141"/>
      <c r="I109" s="1003"/>
      <c r="J109" s="1138"/>
      <c r="K109" s="1002"/>
      <c r="L109" s="1136"/>
      <c r="M109" s="1002"/>
      <c r="N109" s="1014"/>
      <c r="O109" s="1015"/>
      <c r="P109" s="1006"/>
      <c r="Q109" s="1006"/>
      <c r="R109" s="1007"/>
      <c r="S109" s="1006">
        <f t="shared" si="51"/>
        <v>0</v>
      </c>
      <c r="T109" s="1006">
        <f t="shared" si="52"/>
        <v>0</v>
      </c>
      <c r="U109" s="1006">
        <f t="shared" si="53"/>
        <v>0</v>
      </c>
      <c r="V109" s="1006">
        <f t="shared" si="54"/>
        <v>0</v>
      </c>
      <c r="W109" s="1006">
        <f t="shared" si="55"/>
        <v>0</v>
      </c>
      <c r="X109" s="1008"/>
      <c r="Y109" s="1006">
        <f t="shared" si="56"/>
        <v>0</v>
      </c>
      <c r="Z109" s="1006">
        <f t="shared" si="57"/>
        <v>0</v>
      </c>
      <c r="AA109" s="1006">
        <f t="shared" si="58"/>
        <v>0</v>
      </c>
      <c r="AB109" s="1006">
        <f t="shared" si="59"/>
        <v>0</v>
      </c>
      <c r="AC109" s="1009">
        <f t="shared" si="60"/>
        <v>0</v>
      </c>
      <c r="AD109" s="1006">
        <f t="shared" si="61"/>
        <v>0</v>
      </c>
      <c r="AE109" s="1006">
        <f t="shared" si="62"/>
        <v>0</v>
      </c>
      <c r="AF109" s="1006">
        <f t="shared" si="63"/>
        <v>0</v>
      </c>
      <c r="AG109" s="1006">
        <f t="shared" si="64"/>
        <v>0</v>
      </c>
      <c r="AH109" s="1009">
        <f t="shared" si="65"/>
        <v>0</v>
      </c>
      <c r="AJ109" s="1052" t="s">
        <v>894</v>
      </c>
      <c r="AK109" s="1052">
        <v>26</v>
      </c>
      <c r="AL109" s="1053">
        <f>((AT109*1)/Number_of_Schools)+7</f>
        <v>1300.2399037690461</v>
      </c>
      <c r="AM109" s="1220">
        <v>250</v>
      </c>
      <c r="AN109" s="1054">
        <f>Number_of_Schools</f>
        <v>1247</v>
      </c>
      <c r="AO109" s="972">
        <v>50395</v>
      </c>
      <c r="AQ109" s="1221">
        <v>50395</v>
      </c>
      <c r="AR109" s="863">
        <f>SUM(AL109/AU109)*AN109</f>
        <v>1621399.1600000006</v>
      </c>
      <c r="AS109" s="1220">
        <v>12598750</v>
      </c>
      <c r="AT109" s="1053">
        <v>1612670.1600000004</v>
      </c>
      <c r="AU109" s="1055">
        <v>1</v>
      </c>
      <c r="AY109" s="1056"/>
      <c r="AZ109" s="1056"/>
      <c r="BA109" s="1056"/>
      <c r="BB109" s="1056"/>
      <c r="BC109" s="1056"/>
      <c r="BD109" s="1056"/>
      <c r="BE109" s="1056"/>
      <c r="BF109" s="1056"/>
      <c r="BG109" s="1056"/>
      <c r="BH109" s="1056"/>
      <c r="BI109" s="1056"/>
      <c r="BJ109" s="1056"/>
      <c r="BK109" s="1056"/>
      <c r="BL109" s="1056"/>
      <c r="BM109" s="1056"/>
      <c r="BN109" s="1056"/>
      <c r="BO109" s="1056"/>
      <c r="BP109" s="1056"/>
      <c r="BQ109" s="1056"/>
      <c r="BR109" s="1056"/>
      <c r="BS109" s="1056"/>
      <c r="BT109" s="1056"/>
      <c r="BU109" s="1056"/>
      <c r="BV109" s="1056"/>
      <c r="BW109" s="1056"/>
      <c r="BX109" s="1056"/>
      <c r="BY109" s="1056"/>
      <c r="BZ109" s="1056"/>
      <c r="CA109" s="1056"/>
      <c r="CB109" s="1056"/>
      <c r="CC109" s="1056"/>
      <c r="CD109" s="1056"/>
      <c r="CE109" s="1056"/>
      <c r="CF109" s="1056"/>
      <c r="CG109" s="1056"/>
      <c r="CH109" s="1056"/>
      <c r="CI109" s="1056"/>
      <c r="CJ109" s="1056"/>
      <c r="CK109" s="1056"/>
      <c r="CL109" s="1056"/>
      <c r="CM109" s="1056"/>
      <c r="CN109" s="1056"/>
      <c r="CO109" s="1056"/>
      <c r="CP109" s="1056"/>
      <c r="CQ109" s="1056"/>
      <c r="CR109" s="1056"/>
      <c r="CS109" s="1056"/>
      <c r="CT109" s="1056"/>
      <c r="CU109" s="1056"/>
      <c r="CV109" s="1056"/>
      <c r="CW109" s="1056"/>
      <c r="CX109" s="1056"/>
      <c r="CY109" s="1056"/>
      <c r="CZ109" s="1056"/>
      <c r="DA109" s="1056"/>
      <c r="DB109" s="1056"/>
      <c r="DC109" s="1056"/>
      <c r="DD109" s="1056"/>
      <c r="DE109" s="1056"/>
      <c r="DF109" s="1056"/>
      <c r="DG109" s="1056"/>
      <c r="DH109" s="1056"/>
      <c r="DI109" s="1056"/>
      <c r="DJ109" s="1056"/>
      <c r="DK109" s="1056"/>
      <c r="DL109" s="1056"/>
      <c r="DM109" s="1056"/>
      <c r="DN109" s="1056"/>
      <c r="DO109" s="1056"/>
      <c r="DP109" s="1056"/>
      <c r="DQ109" s="1056"/>
      <c r="DR109" s="1056"/>
      <c r="DS109" s="1056"/>
      <c r="DT109" s="1056"/>
      <c r="DU109" s="1056"/>
      <c r="DV109" s="1056"/>
      <c r="DW109" s="1056"/>
      <c r="DX109" s="1056"/>
      <c r="DY109" s="1056"/>
      <c r="DZ109" s="1056"/>
      <c r="EA109" s="1056"/>
      <c r="EB109" s="1056"/>
      <c r="EC109" s="1056"/>
      <c r="ED109" s="1056"/>
      <c r="EE109" s="1056"/>
      <c r="EF109" s="1056"/>
      <c r="EG109" s="1056"/>
      <c r="EH109" s="1056"/>
      <c r="EI109" s="1056"/>
      <c r="EJ109" s="1056"/>
      <c r="EK109" s="1056"/>
      <c r="EL109" s="1056"/>
      <c r="EM109" s="1056"/>
      <c r="EN109" s="1056"/>
      <c r="EO109" s="1056"/>
    </row>
    <row r="110" spans="1:145" s="972" customFormat="1" ht="15.75" customHeight="1">
      <c r="A110" s="1253"/>
      <c r="B110" s="1052"/>
      <c r="C110" s="645"/>
      <c r="D110" s="1218"/>
      <c r="E110" s="1017"/>
      <c r="F110" s="1168"/>
      <c r="G110" s="1051"/>
      <c r="H110" s="1141"/>
      <c r="I110" s="1003"/>
      <c r="J110" s="1138"/>
      <c r="K110" s="1002"/>
      <c r="L110" s="1136"/>
      <c r="M110" s="1002"/>
      <c r="N110" s="1014"/>
      <c r="O110" s="1015"/>
      <c r="P110" s="1006"/>
      <c r="Q110" s="1006"/>
      <c r="R110" s="1007"/>
      <c r="S110" s="1006"/>
      <c r="T110" s="1006"/>
      <c r="U110" s="1006"/>
      <c r="V110" s="1006"/>
      <c r="W110" s="1006"/>
      <c r="X110" s="1008"/>
      <c r="Y110" s="1006"/>
      <c r="Z110" s="1006"/>
      <c r="AA110" s="1006"/>
      <c r="AB110" s="1006"/>
      <c r="AC110" s="1009"/>
      <c r="AD110" s="1006"/>
      <c r="AE110" s="1006"/>
      <c r="AF110" s="1006"/>
      <c r="AG110" s="1006"/>
      <c r="AH110" s="1009"/>
      <c r="AJ110" s="1052" t="s">
        <v>739</v>
      </c>
      <c r="AK110" s="1052"/>
      <c r="AL110" s="1053"/>
      <c r="AM110" s="1220"/>
      <c r="AN110" s="1054"/>
      <c r="AQ110" s="1221"/>
      <c r="AR110" s="1053"/>
      <c r="AS110" s="1220"/>
      <c r="AT110" s="1053"/>
      <c r="AU110" s="1055"/>
      <c r="AY110" s="1056"/>
      <c r="AZ110" s="1056"/>
      <c r="BA110" s="1056"/>
      <c r="BB110" s="1056"/>
      <c r="BC110" s="1056"/>
      <c r="BD110" s="1056"/>
      <c r="BE110" s="1056"/>
      <c r="BF110" s="1056"/>
      <c r="BG110" s="1056"/>
      <c r="BH110" s="1056"/>
      <c r="BI110" s="1056"/>
      <c r="BJ110" s="1056"/>
      <c r="BK110" s="1056"/>
      <c r="BL110" s="1056"/>
      <c r="BM110" s="1056"/>
      <c r="BN110" s="1056"/>
      <c r="BO110" s="1056"/>
      <c r="BP110" s="1056"/>
      <c r="BQ110" s="1056"/>
      <c r="BR110" s="1056"/>
      <c r="BS110" s="1056"/>
      <c r="BT110" s="1056"/>
      <c r="BU110" s="1056"/>
      <c r="BV110" s="1056"/>
      <c r="BW110" s="1056"/>
      <c r="BX110" s="1056"/>
      <c r="BY110" s="1056"/>
      <c r="BZ110" s="1056"/>
      <c r="CA110" s="1056"/>
      <c r="CB110" s="1056"/>
      <c r="CC110" s="1056"/>
      <c r="CD110" s="1056"/>
      <c r="CE110" s="1056"/>
      <c r="CF110" s="1056"/>
      <c r="CG110" s="1056"/>
      <c r="CH110" s="1056"/>
      <c r="CI110" s="1056"/>
      <c r="CJ110" s="1056"/>
      <c r="CK110" s="1056"/>
      <c r="CL110" s="1056"/>
      <c r="CM110" s="1056"/>
      <c r="CN110" s="1056"/>
      <c r="CO110" s="1056"/>
      <c r="CP110" s="1056"/>
      <c r="CQ110" s="1056"/>
      <c r="CR110" s="1056"/>
      <c r="CS110" s="1056"/>
      <c r="CT110" s="1056"/>
      <c r="CU110" s="1056"/>
      <c r="CV110" s="1056"/>
      <c r="CW110" s="1056"/>
      <c r="CX110" s="1056"/>
      <c r="CY110" s="1056"/>
      <c r="CZ110" s="1056"/>
      <c r="DA110" s="1056"/>
      <c r="DB110" s="1056"/>
      <c r="DC110" s="1056"/>
      <c r="DD110" s="1056"/>
      <c r="DE110" s="1056"/>
      <c r="DF110" s="1056"/>
      <c r="DG110" s="1056"/>
      <c r="DH110" s="1056"/>
      <c r="DI110" s="1056"/>
      <c r="DJ110" s="1056"/>
      <c r="DK110" s="1056"/>
      <c r="DL110" s="1056"/>
      <c r="DM110" s="1056"/>
      <c r="DN110" s="1056"/>
      <c r="DO110" s="1056"/>
      <c r="DP110" s="1056"/>
      <c r="DQ110" s="1056"/>
      <c r="DR110" s="1056"/>
      <c r="DS110" s="1056"/>
      <c r="DT110" s="1056"/>
      <c r="DU110" s="1056"/>
      <c r="DV110" s="1056"/>
      <c r="DW110" s="1056"/>
      <c r="DX110" s="1056"/>
      <c r="DY110" s="1056"/>
      <c r="DZ110" s="1056"/>
      <c r="EA110" s="1056"/>
      <c r="EB110" s="1056"/>
      <c r="EC110" s="1056"/>
      <c r="ED110" s="1056"/>
      <c r="EE110" s="1056"/>
      <c r="EF110" s="1056"/>
      <c r="EG110" s="1056"/>
      <c r="EH110" s="1056"/>
      <c r="EI110" s="1056"/>
      <c r="EJ110" s="1056"/>
      <c r="EK110" s="1056"/>
      <c r="EL110" s="1056"/>
      <c r="EM110" s="1056"/>
      <c r="EN110" s="1056"/>
      <c r="EO110" s="1056"/>
    </row>
    <row r="111" spans="1:145" s="972" customFormat="1" ht="15">
      <c r="A111" s="1075" t="s">
        <v>85</v>
      </c>
      <c r="B111" s="1075"/>
      <c r="C111" s="645"/>
      <c r="D111" s="1218"/>
      <c r="E111" s="1001"/>
      <c r="F111" s="1219"/>
      <c r="G111" s="1051"/>
      <c r="H111" s="1141"/>
      <c r="I111" s="1051">
        <f>SUM(I104:I109)</f>
        <v>52170</v>
      </c>
      <c r="J111" s="1141">
        <v>54407</v>
      </c>
      <c r="K111" s="1051">
        <f>SUM(K104:K109)</f>
        <v>23114115</v>
      </c>
      <c r="L111" s="1141">
        <v>41587574</v>
      </c>
      <c r="M111" s="1051">
        <f>SUM(M104:M109)</f>
        <v>15250281.14</v>
      </c>
      <c r="N111" s="1014"/>
      <c r="O111" s="1051">
        <f>SUM(O104:O109)</f>
        <v>1442750.3999999997</v>
      </c>
      <c r="P111" s="1051">
        <f>SUM(P104:P109)</f>
        <v>68204250</v>
      </c>
      <c r="Q111" s="1051">
        <f>SUM(Q104:Q109)</f>
        <v>63875998.8</v>
      </c>
      <c r="R111" s="1007"/>
      <c r="S111" s="1051">
        <f>SUM(S104:S109)</f>
        <v>55837818</v>
      </c>
      <c r="T111" s="1051">
        <f aca="true" t="shared" si="66" ref="T111:AH111">SUM(T104:T109)</f>
        <v>12366431.999999998</v>
      </c>
      <c r="U111" s="1051">
        <f t="shared" si="66"/>
        <v>0</v>
      </c>
      <c r="V111" s="1051">
        <f t="shared" si="66"/>
        <v>0</v>
      </c>
      <c r="W111" s="1051">
        <f t="shared" si="66"/>
        <v>68204250</v>
      </c>
      <c r="X111" s="1051">
        <f t="shared" si="66"/>
        <v>0</v>
      </c>
      <c r="Y111" s="1051">
        <f t="shared" si="66"/>
        <v>9306303</v>
      </c>
      <c r="Z111" s="1051">
        <f t="shared" si="66"/>
        <v>2061071.9999999998</v>
      </c>
      <c r="AA111" s="1051">
        <f t="shared" si="66"/>
        <v>0</v>
      </c>
      <c r="AB111" s="1051">
        <f t="shared" si="66"/>
        <v>0</v>
      </c>
      <c r="AC111" s="1051">
        <f t="shared" si="66"/>
        <v>11367375</v>
      </c>
      <c r="AD111" s="1051">
        <f t="shared" si="66"/>
        <v>0</v>
      </c>
      <c r="AE111" s="1051">
        <f t="shared" si="66"/>
        <v>1442750.3999999997</v>
      </c>
      <c r="AF111" s="1051">
        <f t="shared" si="66"/>
        <v>0</v>
      </c>
      <c r="AG111" s="1051">
        <f t="shared" si="66"/>
        <v>0</v>
      </c>
      <c r="AH111" s="1051">
        <f t="shared" si="66"/>
        <v>1442750.3999999997</v>
      </c>
      <c r="AJ111" s="1052"/>
      <c r="AK111" s="1052"/>
      <c r="AL111" s="1053"/>
      <c r="AM111" s="1220"/>
      <c r="AN111" s="1054"/>
      <c r="AQ111" s="1221"/>
      <c r="AR111" s="1053"/>
      <c r="AS111" s="1220"/>
      <c r="AT111" s="1053"/>
      <c r="AU111" s="1055"/>
      <c r="AY111" s="1056"/>
      <c r="AZ111" s="1056"/>
      <c r="BA111" s="1056"/>
      <c r="BB111" s="1056"/>
      <c r="BC111" s="1056"/>
      <c r="BD111" s="1056"/>
      <c r="BE111" s="1056"/>
      <c r="BF111" s="1056"/>
      <c r="BG111" s="1056"/>
      <c r="BH111" s="1056"/>
      <c r="BI111" s="1056"/>
      <c r="BJ111" s="1056"/>
      <c r="BK111" s="1056"/>
      <c r="BL111" s="1056"/>
      <c r="BM111" s="1056"/>
      <c r="BN111" s="1056"/>
      <c r="BO111" s="1056"/>
      <c r="BP111" s="1056"/>
      <c r="BQ111" s="1056"/>
      <c r="BR111" s="1056"/>
      <c r="BS111" s="1056"/>
      <c r="BT111" s="1056"/>
      <c r="BU111" s="1056"/>
      <c r="BV111" s="1056"/>
      <c r="BW111" s="1056"/>
      <c r="BX111" s="1056"/>
      <c r="BY111" s="1056"/>
      <c r="BZ111" s="1056"/>
      <c r="CA111" s="1056"/>
      <c r="CB111" s="1056"/>
      <c r="CC111" s="1056"/>
      <c r="CD111" s="1056"/>
      <c r="CE111" s="1056"/>
      <c r="CF111" s="1056"/>
      <c r="CG111" s="1056"/>
      <c r="CH111" s="1056"/>
      <c r="CI111" s="1056"/>
      <c r="CJ111" s="1056"/>
      <c r="CK111" s="1056"/>
      <c r="CL111" s="1056"/>
      <c r="CM111" s="1056"/>
      <c r="CN111" s="1056"/>
      <c r="CO111" s="1056"/>
      <c r="CP111" s="1056"/>
      <c r="CQ111" s="1056"/>
      <c r="CR111" s="1056"/>
      <c r="CS111" s="1056"/>
      <c r="CT111" s="1056"/>
      <c r="CU111" s="1056"/>
      <c r="CV111" s="1056"/>
      <c r="CW111" s="1056"/>
      <c r="CX111" s="1056"/>
      <c r="CY111" s="1056"/>
      <c r="CZ111" s="1056"/>
      <c r="DA111" s="1056"/>
      <c r="DB111" s="1056"/>
      <c r="DC111" s="1056"/>
      <c r="DD111" s="1056"/>
      <c r="DE111" s="1056"/>
      <c r="DF111" s="1056"/>
      <c r="DG111" s="1056"/>
      <c r="DH111" s="1056"/>
      <c r="DI111" s="1056"/>
      <c r="DJ111" s="1056"/>
      <c r="DK111" s="1056"/>
      <c r="DL111" s="1056"/>
      <c r="DM111" s="1056"/>
      <c r="DN111" s="1056"/>
      <c r="DO111" s="1056"/>
      <c r="DP111" s="1056"/>
      <c r="DQ111" s="1056"/>
      <c r="DR111" s="1056"/>
      <c r="DS111" s="1056"/>
      <c r="DT111" s="1056"/>
      <c r="DU111" s="1056"/>
      <c r="DV111" s="1056"/>
      <c r="DW111" s="1056"/>
      <c r="DX111" s="1056"/>
      <c r="DY111" s="1056"/>
      <c r="DZ111" s="1056"/>
      <c r="EA111" s="1056"/>
      <c r="EB111" s="1056"/>
      <c r="EC111" s="1056"/>
      <c r="ED111" s="1056"/>
      <c r="EE111" s="1056"/>
      <c r="EF111" s="1056"/>
      <c r="EG111" s="1056"/>
      <c r="EH111" s="1056"/>
      <c r="EI111" s="1056"/>
      <c r="EJ111" s="1056"/>
      <c r="EK111" s="1056"/>
      <c r="EL111" s="1056"/>
      <c r="EM111" s="1056"/>
      <c r="EN111" s="1056"/>
      <c r="EO111" s="1056"/>
    </row>
    <row r="112" spans="1:145" s="972" customFormat="1" ht="15">
      <c r="A112" s="1028"/>
      <c r="B112" s="1028"/>
      <c r="C112" s="645"/>
      <c r="D112" s="1218"/>
      <c r="E112" s="1001"/>
      <c r="F112" s="1219"/>
      <c r="G112" s="1051"/>
      <c r="H112" s="1141"/>
      <c r="I112" s="1003"/>
      <c r="J112" s="1138"/>
      <c r="K112" s="1023"/>
      <c r="L112" s="1137"/>
      <c r="M112" s="1023"/>
      <c r="N112" s="1014"/>
      <c r="O112" s="1060"/>
      <c r="P112" s="1029"/>
      <c r="Q112" s="1029"/>
      <c r="R112" s="1007"/>
      <c r="S112" s="1006"/>
      <c r="T112" s="1006"/>
      <c r="U112" s="1006"/>
      <c r="V112" s="1006"/>
      <c r="W112" s="1006"/>
      <c r="X112" s="1009"/>
      <c r="Y112" s="1006"/>
      <c r="Z112" s="1006"/>
      <c r="AA112" s="1006"/>
      <c r="AB112" s="1006"/>
      <c r="AC112" s="1009"/>
      <c r="AD112" s="1029"/>
      <c r="AE112" s="1029"/>
      <c r="AF112" s="1029"/>
      <c r="AG112" s="1029"/>
      <c r="AH112" s="1009"/>
      <c r="AJ112" s="1052"/>
      <c r="AK112" s="1052"/>
      <c r="AL112" s="1053"/>
      <c r="AM112" s="1220"/>
      <c r="AN112" s="1054"/>
      <c r="AQ112" s="1221"/>
      <c r="AR112" s="1053"/>
      <c r="AS112" s="1220"/>
      <c r="AT112" s="1053"/>
      <c r="AU112" s="1055"/>
      <c r="AY112" s="1056"/>
      <c r="AZ112" s="1056"/>
      <c r="BA112" s="1056"/>
      <c r="BB112" s="1056"/>
      <c r="BC112" s="1056"/>
      <c r="BD112" s="1056"/>
      <c r="BE112" s="1056"/>
      <c r="BF112" s="1056"/>
      <c r="BG112" s="1056"/>
      <c r="BH112" s="1056"/>
      <c r="BI112" s="1056"/>
      <c r="BJ112" s="1056"/>
      <c r="BK112" s="1056"/>
      <c r="BL112" s="1056"/>
      <c r="BM112" s="1056"/>
      <c r="BN112" s="1056"/>
      <c r="BO112" s="1056"/>
      <c r="BP112" s="1056"/>
      <c r="BQ112" s="1056"/>
      <c r="BR112" s="1056"/>
      <c r="BS112" s="1056"/>
      <c r="BT112" s="1056"/>
      <c r="BU112" s="1056"/>
      <c r="BV112" s="1056"/>
      <c r="BW112" s="1056"/>
      <c r="BX112" s="1056"/>
      <c r="BY112" s="1056"/>
      <c r="BZ112" s="1056"/>
      <c r="CA112" s="1056"/>
      <c r="CB112" s="1056"/>
      <c r="CC112" s="1056"/>
      <c r="CD112" s="1056"/>
      <c r="CE112" s="1056"/>
      <c r="CF112" s="1056"/>
      <c r="CG112" s="1056"/>
      <c r="CH112" s="1056"/>
      <c r="CI112" s="1056"/>
      <c r="CJ112" s="1056"/>
      <c r="CK112" s="1056"/>
      <c r="CL112" s="1056"/>
      <c r="CM112" s="1056"/>
      <c r="CN112" s="1056"/>
      <c r="CO112" s="1056"/>
      <c r="CP112" s="1056"/>
      <c r="CQ112" s="1056"/>
      <c r="CR112" s="1056"/>
      <c r="CS112" s="1056"/>
      <c r="CT112" s="1056"/>
      <c r="CU112" s="1056"/>
      <c r="CV112" s="1056"/>
      <c r="CW112" s="1056"/>
      <c r="CX112" s="1056"/>
      <c r="CY112" s="1056"/>
      <c r="CZ112" s="1056"/>
      <c r="DA112" s="1056"/>
      <c r="DB112" s="1056"/>
      <c r="DC112" s="1056"/>
      <c r="DD112" s="1056"/>
      <c r="DE112" s="1056"/>
      <c r="DF112" s="1056"/>
      <c r="DG112" s="1056"/>
      <c r="DH112" s="1056"/>
      <c r="DI112" s="1056"/>
      <c r="DJ112" s="1056"/>
      <c r="DK112" s="1056"/>
      <c r="DL112" s="1056"/>
      <c r="DM112" s="1056"/>
      <c r="DN112" s="1056"/>
      <c r="DO112" s="1056"/>
      <c r="DP112" s="1056"/>
      <c r="DQ112" s="1056"/>
      <c r="DR112" s="1056"/>
      <c r="DS112" s="1056"/>
      <c r="DT112" s="1056"/>
      <c r="DU112" s="1056"/>
      <c r="DV112" s="1056"/>
      <c r="DW112" s="1056"/>
      <c r="DX112" s="1056"/>
      <c r="DY112" s="1056"/>
      <c r="DZ112" s="1056"/>
      <c r="EA112" s="1056"/>
      <c r="EB112" s="1056"/>
      <c r="EC112" s="1056"/>
      <c r="ED112" s="1056"/>
      <c r="EE112" s="1056"/>
      <c r="EF112" s="1056"/>
      <c r="EG112" s="1056"/>
      <c r="EH112" s="1056"/>
      <c r="EI112" s="1056"/>
      <c r="EJ112" s="1056"/>
      <c r="EK112" s="1056"/>
      <c r="EL112" s="1056"/>
      <c r="EM112" s="1056"/>
      <c r="EN112" s="1056"/>
      <c r="EO112" s="1056"/>
    </row>
    <row r="113" spans="1:145" s="972" customFormat="1" ht="15">
      <c r="A113" s="985" t="s">
        <v>86</v>
      </c>
      <c r="B113" s="985"/>
      <c r="C113" s="1063"/>
      <c r="D113" s="1158"/>
      <c r="E113" s="987"/>
      <c r="F113" s="1161"/>
      <c r="G113" s="1064"/>
      <c r="H113" s="1171"/>
      <c r="I113" s="988"/>
      <c r="J113" s="1134"/>
      <c r="K113" s="1065"/>
      <c r="L113" s="1142"/>
      <c r="M113" s="1065"/>
      <c r="N113" s="1066"/>
      <c r="O113" s="1067"/>
      <c r="P113" s="1068"/>
      <c r="Q113" s="1068"/>
      <c r="R113" s="991"/>
      <c r="S113" s="990"/>
      <c r="T113" s="990"/>
      <c r="U113" s="990"/>
      <c r="V113" s="990"/>
      <c r="W113" s="990"/>
      <c r="X113" s="1069"/>
      <c r="Y113" s="990"/>
      <c r="Z113" s="990"/>
      <c r="AA113" s="990"/>
      <c r="AB113" s="990"/>
      <c r="AC113" s="1069"/>
      <c r="AD113" s="1068"/>
      <c r="AE113" s="1068"/>
      <c r="AF113" s="1068"/>
      <c r="AG113" s="1068"/>
      <c r="AH113" s="1069"/>
      <c r="AJ113" s="1052"/>
      <c r="AK113" s="1052"/>
      <c r="AL113" s="1053"/>
      <c r="AM113" s="1220"/>
      <c r="AN113" s="1054"/>
      <c r="AQ113" s="1221"/>
      <c r="AR113" s="1053"/>
      <c r="AS113" s="1220"/>
      <c r="AT113" s="1053"/>
      <c r="AU113" s="1055"/>
      <c r="AY113" s="1056"/>
      <c r="AZ113" s="1056"/>
      <c r="BA113" s="1056"/>
      <c r="BB113" s="1056"/>
      <c r="BC113" s="1056"/>
      <c r="BD113" s="1056"/>
      <c r="BE113" s="1056"/>
      <c r="BF113" s="1056"/>
      <c r="BG113" s="1056"/>
      <c r="BH113" s="1056"/>
      <c r="BI113" s="1056"/>
      <c r="BJ113" s="1056"/>
      <c r="BK113" s="1056"/>
      <c r="BL113" s="1056"/>
      <c r="BM113" s="1056"/>
      <c r="BN113" s="1056"/>
      <c r="BO113" s="1056"/>
      <c r="BP113" s="1056"/>
      <c r="BQ113" s="1056"/>
      <c r="BR113" s="1056"/>
      <c r="BS113" s="1056"/>
      <c r="BT113" s="1056"/>
      <c r="BU113" s="1056"/>
      <c r="BV113" s="1056"/>
      <c r="BW113" s="1056"/>
      <c r="BX113" s="1056"/>
      <c r="BY113" s="1056"/>
      <c r="BZ113" s="1056"/>
      <c r="CA113" s="1056"/>
      <c r="CB113" s="1056"/>
      <c r="CC113" s="1056"/>
      <c r="CD113" s="1056"/>
      <c r="CE113" s="1056"/>
      <c r="CF113" s="1056"/>
      <c r="CG113" s="1056"/>
      <c r="CH113" s="1056"/>
      <c r="CI113" s="1056"/>
      <c r="CJ113" s="1056"/>
      <c r="CK113" s="1056"/>
      <c r="CL113" s="1056"/>
      <c r="CM113" s="1056"/>
      <c r="CN113" s="1056"/>
      <c r="CO113" s="1056"/>
      <c r="CP113" s="1056"/>
      <c r="CQ113" s="1056"/>
      <c r="CR113" s="1056"/>
      <c r="CS113" s="1056"/>
      <c r="CT113" s="1056"/>
      <c r="CU113" s="1056"/>
      <c r="CV113" s="1056"/>
      <c r="CW113" s="1056"/>
      <c r="CX113" s="1056"/>
      <c r="CY113" s="1056"/>
      <c r="CZ113" s="1056"/>
      <c r="DA113" s="1056"/>
      <c r="DB113" s="1056"/>
      <c r="DC113" s="1056"/>
      <c r="DD113" s="1056"/>
      <c r="DE113" s="1056"/>
      <c r="DF113" s="1056"/>
      <c r="DG113" s="1056"/>
      <c r="DH113" s="1056"/>
      <c r="DI113" s="1056"/>
      <c r="DJ113" s="1056"/>
      <c r="DK113" s="1056"/>
      <c r="DL113" s="1056"/>
      <c r="DM113" s="1056"/>
      <c r="DN113" s="1056"/>
      <c r="DO113" s="1056"/>
      <c r="DP113" s="1056"/>
      <c r="DQ113" s="1056"/>
      <c r="DR113" s="1056"/>
      <c r="DS113" s="1056"/>
      <c r="DT113" s="1056"/>
      <c r="DU113" s="1056"/>
      <c r="DV113" s="1056"/>
      <c r="DW113" s="1056"/>
      <c r="DX113" s="1056"/>
      <c r="DY113" s="1056"/>
      <c r="DZ113" s="1056"/>
      <c r="EA113" s="1056"/>
      <c r="EB113" s="1056"/>
      <c r="EC113" s="1056"/>
      <c r="ED113" s="1056"/>
      <c r="EE113" s="1056"/>
      <c r="EF113" s="1056"/>
      <c r="EG113" s="1056"/>
      <c r="EH113" s="1056"/>
      <c r="EI113" s="1056"/>
      <c r="EJ113" s="1056"/>
      <c r="EK113" s="1056"/>
      <c r="EL113" s="1056"/>
      <c r="EM113" s="1056"/>
      <c r="EN113" s="1056"/>
      <c r="EO113" s="1056"/>
    </row>
    <row r="114" spans="1:145" s="1070" customFormat="1" ht="15" hidden="1">
      <c r="A114" s="1028" t="s">
        <v>932</v>
      </c>
      <c r="B114" s="1028"/>
      <c r="C114" s="645"/>
      <c r="D114" s="1218"/>
      <c r="E114" s="1001"/>
      <c r="F114" s="1219"/>
      <c r="G114" s="1051"/>
      <c r="H114" s="1141"/>
      <c r="I114" s="1003"/>
      <c r="J114" s="1138"/>
      <c r="K114" s="1023"/>
      <c r="L114" s="1137"/>
      <c r="M114" s="1023"/>
      <c r="N114" s="1014"/>
      <c r="O114" s="1060"/>
      <c r="P114" s="1029"/>
      <c r="Q114" s="1029"/>
      <c r="R114" s="1007"/>
      <c r="S114" s="1006"/>
      <c r="T114" s="1006"/>
      <c r="U114" s="1006"/>
      <c r="V114" s="1006"/>
      <c r="W114" s="1006"/>
      <c r="X114" s="1009"/>
      <c r="Y114" s="1006"/>
      <c r="Z114" s="1006"/>
      <c r="AA114" s="1006"/>
      <c r="AB114" s="1006"/>
      <c r="AC114" s="1009"/>
      <c r="AD114" s="1029"/>
      <c r="AE114" s="1029"/>
      <c r="AF114" s="1029"/>
      <c r="AG114" s="1029"/>
      <c r="AH114" s="1009"/>
      <c r="AI114" s="972"/>
      <c r="AJ114" s="1052"/>
      <c r="AK114" s="1052"/>
      <c r="AL114" s="1053"/>
      <c r="AM114" s="1220"/>
      <c r="AN114" s="1054"/>
      <c r="AO114" s="972"/>
      <c r="AP114" s="972"/>
      <c r="AQ114" s="1221"/>
      <c r="AR114" s="1053"/>
      <c r="AS114" s="1220"/>
      <c r="AT114" s="1053"/>
      <c r="AU114" s="1055"/>
      <c r="AV114" s="972"/>
      <c r="AW114" s="972"/>
      <c r="AX114" s="972"/>
      <c r="AY114" s="1056"/>
      <c r="AZ114" s="1056"/>
      <c r="BA114" s="1056"/>
      <c r="BB114" s="1056"/>
      <c r="BC114" s="1056"/>
      <c r="BD114" s="1056"/>
      <c r="BE114" s="1056"/>
      <c r="BF114" s="1056"/>
      <c r="BG114" s="1056"/>
      <c r="BH114" s="1056"/>
      <c r="BI114" s="1056"/>
      <c r="BJ114" s="1056"/>
      <c r="BK114" s="1056"/>
      <c r="BL114" s="1056"/>
      <c r="BM114" s="1056"/>
      <c r="BN114" s="1056"/>
      <c r="BO114" s="1056"/>
      <c r="BP114" s="1056"/>
      <c r="BQ114" s="1056"/>
      <c r="BR114" s="1056"/>
      <c r="BS114" s="1056"/>
      <c r="BT114" s="1056"/>
      <c r="BU114" s="1056"/>
      <c r="BV114" s="1056"/>
      <c r="BW114" s="1056"/>
      <c r="BX114" s="1056"/>
      <c r="BY114" s="1056"/>
      <c r="BZ114" s="1056"/>
      <c r="CA114" s="1056"/>
      <c r="CB114" s="1056"/>
      <c r="CC114" s="1056"/>
      <c r="CD114" s="1056"/>
      <c r="CE114" s="1056"/>
      <c r="CF114" s="1056"/>
      <c r="CG114" s="1056"/>
      <c r="CH114" s="1056"/>
      <c r="CI114" s="1056"/>
      <c r="CJ114" s="1056"/>
      <c r="CK114" s="1056"/>
      <c r="CL114" s="1056"/>
      <c r="CM114" s="1056"/>
      <c r="CN114" s="1056"/>
      <c r="CO114" s="1056"/>
      <c r="CP114" s="1056"/>
      <c r="CQ114" s="1056"/>
      <c r="CR114" s="1056"/>
      <c r="CS114" s="1056"/>
      <c r="CT114" s="1056"/>
      <c r="CU114" s="1056"/>
      <c r="CV114" s="1056"/>
      <c r="CW114" s="1056"/>
      <c r="CX114" s="1056"/>
      <c r="CY114" s="1056"/>
      <c r="CZ114" s="1056"/>
      <c r="DA114" s="1056"/>
      <c r="DB114" s="1056"/>
      <c r="DC114" s="1056"/>
      <c r="DD114" s="1056"/>
      <c r="DE114" s="1056"/>
      <c r="DF114" s="1056"/>
      <c r="DG114" s="1056"/>
      <c r="DH114" s="1056"/>
      <c r="DI114" s="1056"/>
      <c r="DJ114" s="1056"/>
      <c r="DK114" s="1056"/>
      <c r="DL114" s="1056"/>
      <c r="DM114" s="1056"/>
      <c r="DN114" s="1056"/>
      <c r="DO114" s="1056"/>
      <c r="DP114" s="1056"/>
      <c r="DQ114" s="1056"/>
      <c r="DR114" s="1056"/>
      <c r="DS114" s="1056"/>
      <c r="DT114" s="1056"/>
      <c r="DU114" s="1056"/>
      <c r="DV114" s="1056"/>
      <c r="DW114" s="1056"/>
      <c r="DX114" s="1056"/>
      <c r="DY114" s="1056"/>
      <c r="DZ114" s="1056"/>
      <c r="EA114" s="1056"/>
      <c r="EB114" s="1056"/>
      <c r="EC114" s="1056"/>
      <c r="ED114" s="1056"/>
      <c r="EE114" s="1056"/>
      <c r="EF114" s="1056"/>
      <c r="EG114" s="1056"/>
      <c r="EH114" s="1056"/>
      <c r="EI114" s="1056"/>
      <c r="EJ114" s="1056"/>
      <c r="EK114" s="1056"/>
      <c r="EL114" s="1056"/>
      <c r="EM114" s="1056"/>
      <c r="EN114" s="1056"/>
      <c r="EO114" s="1056"/>
    </row>
    <row r="115" spans="1:145" s="972" customFormat="1" ht="15" hidden="1">
      <c r="A115" s="1011" t="s">
        <v>1314</v>
      </c>
      <c r="B115" s="1028">
        <v>100</v>
      </c>
      <c r="C115" s="645">
        <f>0.03*C32</f>
        <v>2.1</v>
      </c>
      <c r="D115" s="1218">
        <v>4089.920917808219</v>
      </c>
      <c r="E115" s="1001">
        <f>E32+E82</f>
        <v>469055.8715</v>
      </c>
      <c r="F115" s="1219">
        <v>1460</v>
      </c>
      <c r="G115" s="1077"/>
      <c r="H115" s="1172"/>
      <c r="I115" s="1003">
        <f>K115/E115</f>
        <v>2.1000000000000005</v>
      </c>
      <c r="J115" s="1138">
        <v>4089.920917808219</v>
      </c>
      <c r="K115" s="1002">
        <f>P115/BudgetYears</f>
        <v>985017.3301500002</v>
      </c>
      <c r="L115" s="1136">
        <v>5971284.54</v>
      </c>
      <c r="M115" s="1002">
        <f>'TAR Numbers'!CN10+'TAR Numbers'!CO10+'TAR Numbers'!CR10+'TAR Numbers'!CS10</f>
        <v>670053.925</v>
      </c>
      <c r="N115" s="1078">
        <v>1</v>
      </c>
      <c r="O115" s="1015">
        <f>(USFInternal)*K115</f>
        <v>689512.131105</v>
      </c>
      <c r="P115" s="1006">
        <f>(C115*E115)*(BudgetYears/N115)</f>
        <v>5910103.980900001</v>
      </c>
      <c r="Q115" s="1006">
        <f>(P115)-(O115*3)</f>
        <v>3841567.587585001</v>
      </c>
      <c r="R115" s="1007" t="s">
        <v>18</v>
      </c>
      <c r="S115" s="1006">
        <f>IF($R115="S/L or L",$P115,0)</f>
        <v>5910103.980900001</v>
      </c>
      <c r="T115" s="1006">
        <f>IF($R115="L",$P115,0)</f>
        <v>0</v>
      </c>
      <c r="U115" s="1006">
        <f>IF($R115="S",$P115,0)</f>
        <v>0</v>
      </c>
      <c r="V115" s="1006">
        <f>IF($R115="F",$P115,0)</f>
        <v>0</v>
      </c>
      <c r="W115" s="1006">
        <f aca="true" t="shared" si="67" ref="W115:W120">SUM(S115:V115)</f>
        <v>5910103.980900001</v>
      </c>
      <c r="X115" s="1008">
        <v>490493.9225000001</v>
      </c>
      <c r="Y115" s="1006">
        <f>IF($R115="S/L or L",$K115,0)</f>
        <v>985017.3301500002</v>
      </c>
      <c r="Z115" s="1006">
        <f>IF($R115="L",$K115,0)</f>
        <v>0</v>
      </c>
      <c r="AA115" s="1006">
        <f>IF($R115="S",$K115,0)</f>
        <v>0</v>
      </c>
      <c r="AB115" s="1006">
        <f>IF($R115="F",$K115,0)</f>
        <v>0</v>
      </c>
      <c r="AC115" s="1009">
        <f>SUM(Y115:AB115)</f>
        <v>985017.3301500002</v>
      </c>
      <c r="AD115" s="1006">
        <f>IF($R115="S/L or L",$O115,0)</f>
        <v>689512.131105</v>
      </c>
      <c r="AE115" s="1006">
        <f>IF($R115="L",$O115,0)</f>
        <v>0</v>
      </c>
      <c r="AF115" s="1006">
        <f>IF($R115="S",$O115,0)</f>
        <v>0</v>
      </c>
      <c r="AG115" s="1006">
        <f>IF($R115="F",$O115,0)</f>
        <v>0</v>
      </c>
      <c r="AH115" s="1009">
        <f>SUM(AD115:AG115)</f>
        <v>689512.131105</v>
      </c>
      <c r="AJ115" s="1052"/>
      <c r="AK115" s="1052"/>
      <c r="AL115" s="1053"/>
      <c r="AM115" s="1220"/>
      <c r="AN115" s="1054"/>
      <c r="AQ115" s="1221"/>
      <c r="AR115" s="1053"/>
      <c r="AS115" s="1220"/>
      <c r="AT115" s="1053"/>
      <c r="AU115" s="1055"/>
      <c r="AY115" s="1056"/>
      <c r="AZ115" s="1056"/>
      <c r="BA115" s="1056"/>
      <c r="BB115" s="1056"/>
      <c r="BC115" s="1056"/>
      <c r="BD115" s="1056"/>
      <c r="BE115" s="1056"/>
      <c r="BF115" s="1056"/>
      <c r="BG115" s="1056"/>
      <c r="BH115" s="1056"/>
      <c r="BI115" s="1056"/>
      <c r="BJ115" s="1056"/>
      <c r="BK115" s="1056"/>
      <c r="BL115" s="1056"/>
      <c r="BM115" s="1056"/>
      <c r="BN115" s="1056"/>
      <c r="BO115" s="1056"/>
      <c r="BP115" s="1056"/>
      <c r="BQ115" s="1056"/>
      <c r="BR115" s="1056"/>
      <c r="BS115" s="1056"/>
      <c r="BT115" s="1056"/>
      <c r="BU115" s="1056"/>
      <c r="BV115" s="1056"/>
      <c r="BW115" s="1056"/>
      <c r="BX115" s="1056"/>
      <c r="BY115" s="1056"/>
      <c r="BZ115" s="1056"/>
      <c r="CA115" s="1056"/>
      <c r="CB115" s="1056"/>
      <c r="CC115" s="1056"/>
      <c r="CD115" s="1056"/>
      <c r="CE115" s="1056"/>
      <c r="CF115" s="1056"/>
      <c r="CG115" s="1056"/>
      <c r="CH115" s="1056"/>
      <c r="CI115" s="1056"/>
      <c r="CJ115" s="1056"/>
      <c r="CK115" s="1056"/>
      <c r="CL115" s="1056"/>
      <c r="CM115" s="1056"/>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56"/>
      <c r="DG115" s="1056"/>
      <c r="DH115" s="1056"/>
      <c r="DI115" s="1056"/>
      <c r="DJ115" s="1056"/>
      <c r="DK115" s="1056"/>
      <c r="DL115" s="1056"/>
      <c r="DM115" s="1056"/>
      <c r="DN115" s="1056"/>
      <c r="DO115" s="1056"/>
      <c r="DP115" s="1056"/>
      <c r="DQ115" s="1056"/>
      <c r="DR115" s="1056"/>
      <c r="DS115" s="1056"/>
      <c r="DT115" s="1056"/>
      <c r="DU115" s="1056"/>
      <c r="DV115" s="1056"/>
      <c r="DW115" s="1056"/>
      <c r="DX115" s="1056"/>
      <c r="DY115" s="1056"/>
      <c r="DZ115" s="1056"/>
      <c r="EA115" s="1056"/>
      <c r="EB115" s="1056"/>
      <c r="EC115" s="1056"/>
      <c r="ED115" s="1056"/>
      <c r="EE115" s="1056"/>
      <c r="EF115" s="1056"/>
      <c r="EG115" s="1056"/>
      <c r="EH115" s="1056"/>
      <c r="EI115" s="1056"/>
      <c r="EJ115" s="1056"/>
      <c r="EK115" s="1056"/>
      <c r="EL115" s="1056"/>
      <c r="EM115" s="1056"/>
      <c r="EN115" s="1056"/>
      <c r="EO115" s="1056"/>
    </row>
    <row r="116" spans="1:145" s="972" customFormat="1" ht="15" hidden="1">
      <c r="A116" s="1011" t="s">
        <v>91</v>
      </c>
      <c r="B116" s="1028">
        <v>109</v>
      </c>
      <c r="C116" s="645">
        <f>'Line Item Descriptions'!F117</f>
        <v>2031.9597701149426</v>
      </c>
      <c r="D116" s="1218">
        <v>2022.2742857142857</v>
      </c>
      <c r="E116" s="1001">
        <f>Number_of_Districts</f>
        <v>174</v>
      </c>
      <c r="F116" s="1219">
        <v>175</v>
      </c>
      <c r="G116" s="1077"/>
      <c r="H116" s="1172"/>
      <c r="I116" s="1003">
        <f>K116/E116</f>
        <v>2031.9597701149426</v>
      </c>
      <c r="J116" s="1138">
        <v>2022.2742857142857</v>
      </c>
      <c r="K116" s="1002">
        <f>P116/BudgetYears</f>
        <v>353561</v>
      </c>
      <c r="L116" s="1136">
        <v>353898</v>
      </c>
      <c r="M116" s="1002">
        <f>'TAR Numbers'!CP10+'TAR Numbers'!CQ10</f>
        <v>365213.87500000006</v>
      </c>
      <c r="N116" s="1078">
        <v>1</v>
      </c>
      <c r="O116" s="1079">
        <v>0</v>
      </c>
      <c r="P116" s="1006">
        <f>(C116*E116)*(BudgetYears/N116)</f>
        <v>2121366</v>
      </c>
      <c r="Q116" s="1006">
        <f>(P116)-(O116*3)</f>
        <v>2121366</v>
      </c>
      <c r="R116" s="1007" t="s">
        <v>18</v>
      </c>
      <c r="S116" s="1006">
        <f>IF($R116="S/L or L",$P116,0)</f>
        <v>2121366</v>
      </c>
      <c r="T116" s="1006">
        <f>IF($R116="L",$P116,0)</f>
        <v>0</v>
      </c>
      <c r="U116" s="1006">
        <f>IF($R116="S",$P116,0)</f>
        <v>0</v>
      </c>
      <c r="V116" s="1006">
        <f>IF($R116="F",$P116,0)</f>
        <v>0</v>
      </c>
      <c r="W116" s="1006">
        <f t="shared" si="67"/>
        <v>2121366</v>
      </c>
      <c r="X116" s="1008" t="s">
        <v>25</v>
      </c>
      <c r="Y116" s="1006">
        <f>IF($R116="S/L or L",$K116,0)</f>
        <v>353561</v>
      </c>
      <c r="Z116" s="1006">
        <f>IF($R116="L",$K116,0)</f>
        <v>0</v>
      </c>
      <c r="AA116" s="1006">
        <f>IF($R116="S",$K116,0)</f>
        <v>0</v>
      </c>
      <c r="AB116" s="1006">
        <f>IF($R116="F",$K116,0)</f>
        <v>0</v>
      </c>
      <c r="AC116" s="1009">
        <f>SUM(Y116:AB116)</f>
        <v>353561</v>
      </c>
      <c r="AD116" s="1006">
        <f>IF($R116="S/L or L",$O116,0)</f>
        <v>0</v>
      </c>
      <c r="AE116" s="1006">
        <f>IF($R116="L",$O116,0)</f>
        <v>0</v>
      </c>
      <c r="AF116" s="1006">
        <f>IF($R116="S",$O116,0)</f>
        <v>0</v>
      </c>
      <c r="AG116" s="1006">
        <f>IF($R116="F",$O116,0)</f>
        <v>0</v>
      </c>
      <c r="AH116" s="1009">
        <f>SUM(AD116:AG116)</f>
        <v>0</v>
      </c>
      <c r="AI116" s="1070"/>
      <c r="AJ116" s="1071"/>
      <c r="AK116" s="1071"/>
      <c r="AL116" s="1072"/>
      <c r="AM116" s="1178"/>
      <c r="AN116" s="1073"/>
      <c r="AO116" s="1070"/>
      <c r="AP116" s="1070"/>
      <c r="AQ116" s="1211"/>
      <c r="AR116" s="1072"/>
      <c r="AS116" s="1178"/>
      <c r="AT116" s="1072"/>
      <c r="AU116" s="1074"/>
      <c r="AV116" s="1070"/>
      <c r="AW116" s="1070"/>
      <c r="AX116" s="1070"/>
      <c r="AY116" s="1056"/>
      <c r="AZ116" s="1056"/>
      <c r="BA116" s="1056"/>
      <c r="BB116" s="1056"/>
      <c r="BC116" s="1056"/>
      <c r="BD116" s="1056"/>
      <c r="BE116" s="1056"/>
      <c r="BF116" s="1056"/>
      <c r="BG116" s="1056"/>
      <c r="BH116" s="1056"/>
      <c r="BI116" s="1056"/>
      <c r="BJ116" s="1056"/>
      <c r="BK116" s="1056"/>
      <c r="BL116" s="1056"/>
      <c r="BM116" s="1056"/>
      <c r="BN116" s="1056"/>
      <c r="BO116" s="1056"/>
      <c r="BP116" s="1056"/>
      <c r="BQ116" s="1056"/>
      <c r="BR116" s="1056"/>
      <c r="BS116" s="1056"/>
      <c r="BT116" s="1056"/>
      <c r="BU116" s="1056"/>
      <c r="BV116" s="1056"/>
      <c r="BW116" s="1056"/>
      <c r="BX116" s="1056"/>
      <c r="BY116" s="1056"/>
      <c r="BZ116" s="1056"/>
      <c r="CA116" s="1056"/>
      <c r="CB116" s="1056"/>
      <c r="CC116" s="1056"/>
      <c r="CD116" s="1056"/>
      <c r="CE116" s="1056"/>
      <c r="CF116" s="1056"/>
      <c r="CG116" s="1056"/>
      <c r="CH116" s="1056"/>
      <c r="CI116" s="1056"/>
      <c r="CJ116" s="1056"/>
      <c r="CK116" s="1056"/>
      <c r="CL116" s="1056"/>
      <c r="CM116" s="1056"/>
      <c r="CN116" s="1056"/>
      <c r="CO116" s="1056"/>
      <c r="CP116" s="1056"/>
      <c r="CQ116" s="1056"/>
      <c r="CR116" s="1056"/>
      <c r="CS116" s="1056"/>
      <c r="CT116" s="1056"/>
      <c r="CU116" s="1056"/>
      <c r="CV116" s="1056"/>
      <c r="CW116" s="1056"/>
      <c r="CX116" s="1056"/>
      <c r="CY116" s="1056"/>
      <c r="CZ116" s="1056"/>
      <c r="DA116" s="1056"/>
      <c r="DB116" s="1056"/>
      <c r="DC116" s="1056"/>
      <c r="DD116" s="1056"/>
      <c r="DE116" s="1056"/>
      <c r="DF116" s="1056"/>
      <c r="DG116" s="1056"/>
      <c r="DH116" s="1056"/>
      <c r="DI116" s="1056"/>
      <c r="DJ116" s="1056"/>
      <c r="DK116" s="1056"/>
      <c r="DL116" s="1056"/>
      <c r="DM116" s="1056"/>
      <c r="DN116" s="1056"/>
      <c r="DO116" s="1056"/>
      <c r="DP116" s="1056"/>
      <c r="DQ116" s="1056"/>
      <c r="DR116" s="1056"/>
      <c r="DS116" s="1056"/>
      <c r="DT116" s="1056"/>
      <c r="DU116" s="1056"/>
      <c r="DV116" s="1056"/>
      <c r="DW116" s="1056"/>
      <c r="DX116" s="1056"/>
      <c r="DY116" s="1056"/>
      <c r="DZ116" s="1056"/>
      <c r="EA116" s="1056"/>
      <c r="EB116" s="1056"/>
      <c r="EC116" s="1056"/>
      <c r="ED116" s="1056"/>
      <c r="EE116" s="1056"/>
      <c r="EF116" s="1056"/>
      <c r="EG116" s="1056"/>
      <c r="EH116" s="1056"/>
      <c r="EI116" s="1056"/>
      <c r="EJ116" s="1056"/>
      <c r="EK116" s="1056"/>
      <c r="EL116" s="1056"/>
      <c r="EM116" s="1056"/>
      <c r="EN116" s="1056"/>
      <c r="EO116" s="1056"/>
    </row>
    <row r="117" spans="1:145" s="972" customFormat="1" ht="15" hidden="1">
      <c r="A117" s="1314" t="s">
        <v>92</v>
      </c>
      <c r="B117" s="1028">
        <v>100</v>
      </c>
      <c r="C117" s="1222">
        <f>'Line Item Descriptions'!F118</f>
        <v>155</v>
      </c>
      <c r="D117" s="1218">
        <v>155</v>
      </c>
      <c r="E117" s="1001">
        <f>Number_of_Districts</f>
        <v>174</v>
      </c>
      <c r="F117" s="1219">
        <v>175</v>
      </c>
      <c r="G117" s="1077"/>
      <c r="H117" s="1172"/>
      <c r="I117" s="1003">
        <f>K117/E117</f>
        <v>155</v>
      </c>
      <c r="J117" s="1138">
        <v>155</v>
      </c>
      <c r="K117" s="1002">
        <f>P117/BudgetYears</f>
        <v>26970</v>
      </c>
      <c r="L117" s="1136">
        <v>27125</v>
      </c>
      <c r="M117" s="1002">
        <f>'TAR Numbers'!CR10+'TAR Numbers'!CS10</f>
        <v>340909.33</v>
      </c>
      <c r="N117" s="1078">
        <v>1</v>
      </c>
      <c r="O117" s="1015">
        <f>(USFInternal)*K117</f>
        <v>18879</v>
      </c>
      <c r="P117" s="1006">
        <f>(C117*E117)*(BudgetYears/N117)</f>
        <v>161820</v>
      </c>
      <c r="Q117" s="1006">
        <f>(P117)-(O117*3)</f>
        <v>105183</v>
      </c>
      <c r="R117" s="1007" t="s">
        <v>18</v>
      </c>
      <c r="S117" s="1006">
        <f>IF($R117="S/L or L",$P117,0)</f>
        <v>161820</v>
      </c>
      <c r="T117" s="1006">
        <f>IF($R117="L",$P117,0)</f>
        <v>0</v>
      </c>
      <c r="U117" s="1006">
        <f>IF($R117="S",$P117,0)</f>
        <v>0</v>
      </c>
      <c r="V117" s="1006">
        <f>IF($R117="F",$P117,0)</f>
        <v>0</v>
      </c>
      <c r="W117" s="1006">
        <f t="shared" si="67"/>
        <v>161820</v>
      </c>
      <c r="X117" s="1008" t="s">
        <v>137</v>
      </c>
      <c r="Y117" s="1006">
        <f>IF($R117="S/L or L",$K117,0)</f>
        <v>26970</v>
      </c>
      <c r="Z117" s="1006">
        <f>IF($R117="L",$K117,0)</f>
        <v>0</v>
      </c>
      <c r="AA117" s="1006">
        <f>IF($R117="S",$K117,0)</f>
        <v>0</v>
      </c>
      <c r="AB117" s="1006">
        <f>IF($R117="F",$K117,0)</f>
        <v>0</v>
      </c>
      <c r="AC117" s="1009">
        <f>SUM(Y117:AB117)</f>
        <v>26970</v>
      </c>
      <c r="AD117" s="1006">
        <f>IF($R117="S/L or L",$O117,0)</f>
        <v>18879</v>
      </c>
      <c r="AE117" s="1006">
        <f>IF($R117="L",$O117,0)</f>
        <v>0</v>
      </c>
      <c r="AF117" s="1006">
        <f>IF($R117="S",$O117,0)</f>
        <v>0</v>
      </c>
      <c r="AG117" s="1006">
        <f>IF($R117="F",$O117,0)</f>
        <v>0</v>
      </c>
      <c r="AH117" s="1009">
        <f>SUM(AD117:AG117)</f>
        <v>18879</v>
      </c>
      <c r="AJ117" s="1052"/>
      <c r="AK117" s="1052"/>
      <c r="AL117" s="1053"/>
      <c r="AM117" s="1220"/>
      <c r="AN117" s="1054"/>
      <c r="AQ117" s="1221"/>
      <c r="AR117" s="1053"/>
      <c r="AS117" s="1220"/>
      <c r="AT117" s="1053"/>
      <c r="AU117" s="1055"/>
      <c r="AY117" s="1056"/>
      <c r="AZ117" s="1056"/>
      <c r="BA117" s="1056"/>
      <c r="BB117" s="1056"/>
      <c r="BC117" s="1056"/>
      <c r="BD117" s="1056"/>
      <c r="BE117" s="1056"/>
      <c r="BF117" s="1056"/>
      <c r="BG117" s="1056"/>
      <c r="BH117" s="1056"/>
      <c r="BI117" s="1056"/>
      <c r="BJ117" s="1056"/>
      <c r="BK117" s="1056"/>
      <c r="BL117" s="1056"/>
      <c r="BM117" s="1056"/>
      <c r="BN117" s="1056"/>
      <c r="BO117" s="1056"/>
      <c r="BP117" s="1056"/>
      <c r="BQ117" s="1056"/>
      <c r="BR117" s="1056"/>
      <c r="BS117" s="1056"/>
      <c r="BT117" s="1056"/>
      <c r="BU117" s="1056"/>
      <c r="BV117" s="1056"/>
      <c r="BW117" s="1056"/>
      <c r="BX117" s="1056"/>
      <c r="BY117" s="1056"/>
      <c r="BZ117" s="1056"/>
      <c r="CA117" s="1056"/>
      <c r="CB117" s="1056"/>
      <c r="CC117" s="1056"/>
      <c r="CD117" s="1056"/>
      <c r="CE117" s="1056"/>
      <c r="CF117" s="1056"/>
      <c r="CG117" s="1056"/>
      <c r="CH117" s="1056"/>
      <c r="CI117" s="1056"/>
      <c r="CJ117" s="1056"/>
      <c r="CK117" s="1056"/>
      <c r="CL117" s="1056"/>
      <c r="CM117" s="1056"/>
      <c r="CN117" s="1056"/>
      <c r="CO117" s="1056"/>
      <c r="CP117" s="1056"/>
      <c r="CQ117" s="1056"/>
      <c r="CR117" s="1056"/>
      <c r="CS117" s="1056"/>
      <c r="CT117" s="1056"/>
      <c r="CU117" s="1056"/>
      <c r="CV117" s="1056"/>
      <c r="CW117" s="1056"/>
      <c r="CX117" s="1056"/>
      <c r="CY117" s="1056"/>
      <c r="CZ117" s="1056"/>
      <c r="DA117" s="1056"/>
      <c r="DB117" s="1056"/>
      <c r="DC117" s="1056"/>
      <c r="DD117" s="1056"/>
      <c r="DE117" s="1056"/>
      <c r="DF117" s="1056"/>
      <c r="DG117" s="1056"/>
      <c r="DH117" s="1056"/>
      <c r="DI117" s="1056"/>
      <c r="DJ117" s="1056"/>
      <c r="DK117" s="1056"/>
      <c r="DL117" s="1056"/>
      <c r="DM117" s="1056"/>
      <c r="DN117" s="1056"/>
      <c r="DO117" s="1056"/>
      <c r="DP117" s="1056"/>
      <c r="DQ117" s="1056"/>
      <c r="DR117" s="1056"/>
      <c r="DS117" s="1056"/>
      <c r="DT117" s="1056"/>
      <c r="DU117" s="1056"/>
      <c r="DV117" s="1056"/>
      <c r="DW117" s="1056"/>
      <c r="DX117" s="1056"/>
      <c r="DY117" s="1056"/>
      <c r="DZ117" s="1056"/>
      <c r="EA117" s="1056"/>
      <c r="EB117" s="1056"/>
      <c r="EC117" s="1056"/>
      <c r="ED117" s="1056"/>
      <c r="EE117" s="1056"/>
      <c r="EF117" s="1056"/>
      <c r="EG117" s="1056"/>
      <c r="EH117" s="1056"/>
      <c r="EI117" s="1056"/>
      <c r="EJ117" s="1056"/>
      <c r="EK117" s="1056"/>
      <c r="EL117" s="1056"/>
      <c r="EM117" s="1056"/>
      <c r="EN117" s="1056"/>
      <c r="EO117" s="1056"/>
    </row>
    <row r="118" spans="1:145" s="1010" customFormat="1" ht="30.75">
      <c r="A118" s="1011"/>
      <c r="B118" s="1028"/>
      <c r="C118" s="1216"/>
      <c r="D118" s="1218"/>
      <c r="E118" s="1001"/>
      <c r="F118" s="1219"/>
      <c r="G118" s="1077"/>
      <c r="H118" s="1172"/>
      <c r="I118" s="1003"/>
      <c r="J118" s="1138"/>
      <c r="K118" s="1002"/>
      <c r="L118" s="1136"/>
      <c r="M118" s="1002"/>
      <c r="N118" s="1078"/>
      <c r="O118" s="1015"/>
      <c r="P118" s="1006"/>
      <c r="Q118" s="1006"/>
      <c r="R118" s="1007"/>
      <c r="S118" s="1006"/>
      <c r="T118" s="1006"/>
      <c r="U118" s="1006"/>
      <c r="V118" s="1006"/>
      <c r="W118" s="1006"/>
      <c r="X118" s="1008"/>
      <c r="Y118" s="1006"/>
      <c r="Z118" s="1006"/>
      <c r="AA118" s="1006"/>
      <c r="AB118" s="1006"/>
      <c r="AC118" s="1008"/>
      <c r="AD118" s="1006"/>
      <c r="AE118" s="1006"/>
      <c r="AF118" s="1006"/>
      <c r="AG118" s="1006"/>
      <c r="AH118" s="1008"/>
      <c r="AJ118" s="1011" t="s">
        <v>896</v>
      </c>
      <c r="AK118" s="1011" t="s">
        <v>1039</v>
      </c>
      <c r="AL118" s="863">
        <v>40000</v>
      </c>
      <c r="AM118" s="1177">
        <v>47395.200148202144</v>
      </c>
      <c r="AN118" s="1012">
        <f>Number_of_Schools</f>
        <v>1247</v>
      </c>
      <c r="AQ118" s="1209">
        <v>1372</v>
      </c>
      <c r="AR118" s="863">
        <f>AL118*AN118</f>
        <v>49880000</v>
      </c>
      <c r="AS118" s="1177">
        <v>65026214.60333334</v>
      </c>
      <c r="AT118" s="863">
        <f>('TAR Numbers'!BX10+'TAR Numbers'!BY10)-('TAR Numbers'!BX11+'TAR Numbers'!BY11)+'TAR Numbers'!CT10+'TAR Numbers'!CU10+'TAR Numbers'!CV10+'TAR Numbers'!CW10</f>
        <v>31603328.429999977</v>
      </c>
      <c r="AU118" s="1007">
        <v>1</v>
      </c>
      <c r="AY118" s="963"/>
      <c r="AZ118" s="994"/>
      <c r="BA118" s="994"/>
      <c r="BB118" s="994"/>
      <c r="BC118" s="994"/>
      <c r="BD118" s="994"/>
      <c r="BE118" s="994"/>
      <c r="BF118" s="994"/>
      <c r="BG118" s="994"/>
      <c r="BH118" s="994"/>
      <c r="BI118" s="994"/>
      <c r="BJ118" s="994"/>
      <c r="BK118" s="994"/>
      <c r="BL118" s="994"/>
      <c r="BM118" s="994"/>
      <c r="BN118" s="994"/>
      <c r="BO118" s="994"/>
      <c r="BP118" s="994"/>
      <c r="BQ118" s="994"/>
      <c r="BR118" s="994"/>
      <c r="BS118" s="994"/>
      <c r="BT118" s="994"/>
      <c r="BU118" s="994"/>
      <c r="BV118" s="994"/>
      <c r="BW118" s="994"/>
      <c r="BX118" s="994"/>
      <c r="BY118" s="994"/>
      <c r="BZ118" s="994"/>
      <c r="CA118" s="994"/>
      <c r="CB118" s="994"/>
      <c r="CC118" s="994"/>
      <c r="CD118" s="994"/>
      <c r="CE118" s="994"/>
      <c r="CF118" s="994"/>
      <c r="CG118" s="994"/>
      <c r="CH118" s="994"/>
      <c r="CI118" s="994"/>
      <c r="CJ118" s="994"/>
      <c r="CK118" s="994"/>
      <c r="CL118" s="994"/>
      <c r="CM118" s="994"/>
      <c r="CN118" s="994"/>
      <c r="CO118" s="994"/>
      <c r="CP118" s="994"/>
      <c r="CQ118" s="994"/>
      <c r="CR118" s="994"/>
      <c r="CS118" s="994"/>
      <c r="CT118" s="994"/>
      <c r="CU118" s="994"/>
      <c r="CV118" s="994"/>
      <c r="CW118" s="994"/>
      <c r="CX118" s="994"/>
      <c r="CY118" s="994"/>
      <c r="CZ118" s="994"/>
      <c r="DA118" s="994"/>
      <c r="DB118" s="994"/>
      <c r="DC118" s="994"/>
      <c r="DD118" s="994"/>
      <c r="DE118" s="994"/>
      <c r="DF118" s="994"/>
      <c r="DG118" s="994"/>
      <c r="DH118" s="994"/>
      <c r="DI118" s="994"/>
      <c r="DJ118" s="994"/>
      <c r="DK118" s="994"/>
      <c r="DL118" s="994"/>
      <c r="DM118" s="994"/>
      <c r="DN118" s="994"/>
      <c r="DO118" s="994"/>
      <c r="DP118" s="994"/>
      <c r="DQ118" s="994"/>
      <c r="DR118" s="994"/>
      <c r="DS118" s="994"/>
      <c r="DT118" s="994"/>
      <c r="DU118" s="994"/>
      <c r="DV118" s="994"/>
      <c r="DW118" s="994"/>
      <c r="DX118" s="994"/>
      <c r="DY118" s="994"/>
      <c r="DZ118" s="994"/>
      <c r="EA118" s="994"/>
      <c r="EB118" s="994"/>
      <c r="EC118" s="994"/>
      <c r="ED118" s="994"/>
      <c r="EE118" s="994"/>
      <c r="EF118" s="994"/>
      <c r="EG118" s="994"/>
      <c r="EH118" s="994"/>
      <c r="EI118" s="994"/>
      <c r="EJ118" s="994"/>
      <c r="EK118" s="994"/>
      <c r="EL118" s="994"/>
      <c r="EM118" s="994"/>
      <c r="EN118" s="994"/>
      <c r="EO118" s="994"/>
    </row>
    <row r="119" spans="1:145" s="1010" customFormat="1" ht="15">
      <c r="A119" s="1011"/>
      <c r="B119" s="1028"/>
      <c r="C119" s="645"/>
      <c r="D119" s="1218"/>
      <c r="E119" s="1001"/>
      <c r="F119" s="1219"/>
      <c r="G119" s="1077"/>
      <c r="H119" s="1172"/>
      <c r="I119" s="1003"/>
      <c r="J119" s="1138"/>
      <c r="K119" s="1002"/>
      <c r="L119" s="1136"/>
      <c r="M119" s="1002"/>
      <c r="N119" s="1078"/>
      <c r="O119" s="1015"/>
      <c r="P119" s="1006"/>
      <c r="Q119" s="1006"/>
      <c r="R119" s="1007"/>
      <c r="S119" s="1006"/>
      <c r="T119" s="1006"/>
      <c r="U119" s="1006"/>
      <c r="V119" s="1006"/>
      <c r="W119" s="1006"/>
      <c r="X119" s="1008"/>
      <c r="Y119" s="1006"/>
      <c r="Z119" s="1006"/>
      <c r="AA119" s="1006"/>
      <c r="AB119" s="1006"/>
      <c r="AC119" s="1008"/>
      <c r="AD119" s="1006"/>
      <c r="AE119" s="1006"/>
      <c r="AF119" s="1006"/>
      <c r="AG119" s="1006"/>
      <c r="AH119" s="1008"/>
      <c r="AJ119" s="1011" t="s">
        <v>895</v>
      </c>
      <c r="AK119" s="1011"/>
      <c r="AL119" s="863"/>
      <c r="AM119" s="1177"/>
      <c r="AN119" s="1012"/>
      <c r="AQ119" s="1209"/>
      <c r="AR119" s="863"/>
      <c r="AS119" s="1177"/>
      <c r="AT119" s="863"/>
      <c r="AU119" s="1007"/>
      <c r="AY119" s="994"/>
      <c r="AZ119" s="994"/>
      <c r="BA119" s="994"/>
      <c r="BB119" s="994"/>
      <c r="BC119" s="994"/>
      <c r="BD119" s="994"/>
      <c r="BE119" s="994"/>
      <c r="BF119" s="994"/>
      <c r="BG119" s="994"/>
      <c r="BH119" s="994"/>
      <c r="BI119" s="994"/>
      <c r="BJ119" s="994"/>
      <c r="BK119" s="994"/>
      <c r="BL119" s="994"/>
      <c r="BM119" s="994"/>
      <c r="BN119" s="994"/>
      <c r="BO119" s="994"/>
      <c r="BP119" s="994"/>
      <c r="BQ119" s="994"/>
      <c r="BR119" s="994"/>
      <c r="BS119" s="994"/>
      <c r="BT119" s="994"/>
      <c r="BU119" s="994"/>
      <c r="BV119" s="994"/>
      <c r="BW119" s="994"/>
      <c r="BX119" s="994"/>
      <c r="BY119" s="994"/>
      <c r="BZ119" s="994"/>
      <c r="CA119" s="994"/>
      <c r="CB119" s="994"/>
      <c r="CC119" s="994"/>
      <c r="CD119" s="994"/>
      <c r="CE119" s="994"/>
      <c r="CF119" s="994"/>
      <c r="CG119" s="994"/>
      <c r="CH119" s="994"/>
      <c r="CI119" s="994"/>
      <c r="CJ119" s="994"/>
      <c r="CK119" s="994"/>
      <c r="CL119" s="994"/>
      <c r="CM119" s="994"/>
      <c r="CN119" s="994"/>
      <c r="CO119" s="994"/>
      <c r="CP119" s="994"/>
      <c r="CQ119" s="994"/>
      <c r="CR119" s="994"/>
      <c r="CS119" s="994"/>
      <c r="CT119" s="994"/>
      <c r="CU119" s="994"/>
      <c r="CV119" s="994"/>
      <c r="CW119" s="994"/>
      <c r="CX119" s="994"/>
      <c r="CY119" s="994"/>
      <c r="CZ119" s="994"/>
      <c r="DA119" s="994"/>
      <c r="DB119" s="994"/>
      <c r="DC119" s="994"/>
      <c r="DD119" s="994"/>
      <c r="DE119" s="994"/>
      <c r="DF119" s="994"/>
      <c r="DG119" s="994"/>
      <c r="DH119" s="994"/>
      <c r="DI119" s="994"/>
      <c r="DJ119" s="994"/>
      <c r="DK119" s="994"/>
      <c r="DL119" s="994"/>
      <c r="DM119" s="994"/>
      <c r="DN119" s="994"/>
      <c r="DO119" s="994"/>
      <c r="DP119" s="994"/>
      <c r="DQ119" s="994"/>
      <c r="DR119" s="994"/>
      <c r="DS119" s="994"/>
      <c r="DT119" s="994"/>
      <c r="DU119" s="994"/>
      <c r="DV119" s="994"/>
      <c r="DW119" s="994"/>
      <c r="DX119" s="994"/>
      <c r="DY119" s="994"/>
      <c r="DZ119" s="994"/>
      <c r="EA119" s="994"/>
      <c r="EB119" s="994"/>
      <c r="EC119" s="994"/>
      <c r="ED119" s="994"/>
      <c r="EE119" s="994"/>
      <c r="EF119" s="994"/>
      <c r="EG119" s="994"/>
      <c r="EH119" s="994"/>
      <c r="EI119" s="994"/>
      <c r="EJ119" s="994"/>
      <c r="EK119" s="994"/>
      <c r="EL119" s="994"/>
      <c r="EM119" s="994"/>
      <c r="EN119" s="994"/>
      <c r="EO119" s="994"/>
    </row>
    <row r="120" spans="1:145" ht="15" hidden="1">
      <c r="A120" s="1034" t="s">
        <v>93</v>
      </c>
      <c r="B120" s="1034"/>
      <c r="C120" s="656"/>
      <c r="D120" s="1156"/>
      <c r="E120" s="1050"/>
      <c r="F120" s="1167"/>
      <c r="G120" s="1051"/>
      <c r="H120" s="1141"/>
      <c r="I120" s="1051">
        <f>SUM(I115:I116)</f>
        <v>2034.0597701149425</v>
      </c>
      <c r="J120" s="1141">
        <v>15211.380919275927</v>
      </c>
      <c r="K120" s="1051">
        <f>SUM(K115:K116)</f>
        <v>1338578.3301500003</v>
      </c>
      <c r="L120" s="1141">
        <v>26392964.396666665</v>
      </c>
      <c r="M120" s="1051">
        <f>SUM(M115:M116)</f>
        <v>1035267.8</v>
      </c>
      <c r="N120" s="1019"/>
      <c r="O120" s="1051">
        <f>SUM(O115:O117)</f>
        <v>708391.131105</v>
      </c>
      <c r="P120" s="1051">
        <f>SUM(P115:P117)</f>
        <v>8193289.980900001</v>
      </c>
      <c r="Q120" s="1051">
        <f>SUM(Q115:Q117)</f>
        <v>6068116.587585</v>
      </c>
      <c r="R120" s="1041"/>
      <c r="S120" s="1051">
        <f>SUM(S115:S117)</f>
        <v>8193289.980900001</v>
      </c>
      <c r="T120" s="1051">
        <f>SUM(T115:T117)</f>
        <v>0</v>
      </c>
      <c r="U120" s="1051">
        <f>SUM(U115:U117)</f>
        <v>0</v>
      </c>
      <c r="V120" s="1051">
        <f>SUM(V115:V117)</f>
        <v>0</v>
      </c>
      <c r="W120" s="1029">
        <f t="shared" si="67"/>
        <v>8193289.980900001</v>
      </c>
      <c r="X120" s="1009">
        <v>214723.44013372596</v>
      </c>
      <c r="Y120" s="1051">
        <f aca="true" t="shared" si="68" ref="Y120:AH120">SUM(Y115:Y117)</f>
        <v>1365548.3301500003</v>
      </c>
      <c r="Z120" s="1051">
        <f t="shared" si="68"/>
        <v>0</v>
      </c>
      <c r="AA120" s="1051">
        <f t="shared" si="68"/>
        <v>0</v>
      </c>
      <c r="AB120" s="1051">
        <f t="shared" si="68"/>
        <v>0</v>
      </c>
      <c r="AC120" s="1051">
        <f t="shared" si="68"/>
        <v>1365548.3301500003</v>
      </c>
      <c r="AD120" s="1051">
        <f t="shared" si="68"/>
        <v>708391.131105</v>
      </c>
      <c r="AE120" s="1051">
        <f t="shared" si="68"/>
        <v>0</v>
      </c>
      <c r="AF120" s="1051">
        <f t="shared" si="68"/>
        <v>0</v>
      </c>
      <c r="AG120" s="1051">
        <f t="shared" si="68"/>
        <v>0</v>
      </c>
      <c r="AH120" s="1051">
        <f t="shared" si="68"/>
        <v>708391.131105</v>
      </c>
      <c r="AI120" s="1307"/>
      <c r="AJ120" s="1308"/>
      <c r="AK120" s="1308"/>
      <c r="AL120" s="1235"/>
      <c r="AM120" s="1309"/>
      <c r="AN120" s="1310"/>
      <c r="AO120" s="1307"/>
      <c r="AP120" s="1307"/>
      <c r="AQ120" s="1311"/>
      <c r="AR120" s="1235"/>
      <c r="AS120" s="1309"/>
      <c r="AT120" s="1235"/>
      <c r="AU120" s="1312"/>
      <c r="AV120" s="1307"/>
      <c r="AW120" s="1307"/>
      <c r="AX120" s="1307"/>
      <c r="AY120" s="1313"/>
      <c r="AZ120" s="1313"/>
      <c r="BA120" s="1313"/>
      <c r="BB120" s="1313"/>
      <c r="BC120" s="1313"/>
      <c r="BD120" s="1313"/>
      <c r="BE120" s="1313"/>
      <c r="BF120" s="1313"/>
      <c r="BG120" s="1313"/>
      <c r="BH120" s="1313"/>
      <c r="BI120" s="1313"/>
      <c r="BJ120" s="1313"/>
      <c r="BK120" s="1313"/>
      <c r="BL120" s="1313"/>
      <c r="BM120" s="1313"/>
      <c r="BN120" s="1313"/>
      <c r="BO120" s="1313"/>
      <c r="BP120" s="1313"/>
      <c r="BQ120" s="1313"/>
      <c r="BR120" s="1313"/>
      <c r="BS120" s="1313"/>
      <c r="BT120" s="1313"/>
      <c r="BU120" s="1313"/>
      <c r="BV120" s="1313"/>
      <c r="BW120" s="1313"/>
      <c r="BX120" s="1313"/>
      <c r="BY120" s="1313"/>
      <c r="BZ120" s="1313"/>
      <c r="CA120" s="1313"/>
      <c r="CB120" s="1313"/>
      <c r="CC120" s="1313"/>
      <c r="CD120" s="1313"/>
      <c r="CE120" s="1313"/>
      <c r="CF120" s="1313"/>
      <c r="CG120" s="1313"/>
      <c r="CH120" s="1313"/>
      <c r="CI120" s="1313"/>
      <c r="CJ120" s="1313"/>
      <c r="CK120" s="1313"/>
      <c r="CL120" s="1313"/>
      <c r="CM120" s="1313"/>
      <c r="CN120" s="1313"/>
      <c r="CO120" s="1313"/>
      <c r="CP120" s="1313"/>
      <c r="CQ120" s="1313"/>
      <c r="CR120" s="1313"/>
      <c r="CS120" s="1313"/>
      <c r="CT120" s="1313"/>
      <c r="CU120" s="1313"/>
      <c r="CV120" s="1313"/>
      <c r="CW120" s="1313"/>
      <c r="CX120" s="1313"/>
      <c r="CY120" s="1313"/>
      <c r="CZ120" s="1313"/>
      <c r="DA120" s="1313"/>
      <c r="DB120" s="1313"/>
      <c r="DC120" s="1313"/>
      <c r="DD120" s="1313"/>
      <c r="DE120" s="1313"/>
      <c r="DF120" s="1313"/>
      <c r="DG120" s="1313"/>
      <c r="DH120" s="1313"/>
      <c r="DI120" s="1313"/>
      <c r="DJ120" s="1313"/>
      <c r="DK120" s="1313"/>
      <c r="DL120" s="1313"/>
      <c r="DM120" s="1313"/>
      <c r="DN120" s="1313"/>
      <c r="DO120" s="1313"/>
      <c r="DP120" s="1313"/>
      <c r="DQ120" s="1313"/>
      <c r="DR120" s="1313"/>
      <c r="DS120" s="1313"/>
      <c r="DT120" s="1313"/>
      <c r="DU120" s="1313"/>
      <c r="DV120" s="1313"/>
      <c r="DW120" s="1313"/>
      <c r="DX120" s="1313"/>
      <c r="DY120" s="1313"/>
      <c r="DZ120" s="1313"/>
      <c r="EA120" s="1313"/>
      <c r="EB120" s="1313"/>
      <c r="EC120" s="1313"/>
      <c r="ED120" s="1313"/>
      <c r="EE120" s="1313"/>
      <c r="EF120" s="1313"/>
      <c r="EG120" s="1313"/>
      <c r="EH120" s="1313"/>
      <c r="EI120" s="1313"/>
      <c r="EJ120" s="1313"/>
      <c r="EK120" s="1313"/>
      <c r="EL120" s="1313"/>
      <c r="EM120" s="1313"/>
      <c r="EN120" s="1279"/>
      <c r="EO120" s="1279"/>
    </row>
    <row r="121" spans="1:145" s="972" customFormat="1" ht="15">
      <c r="A121" s="1329"/>
      <c r="B121" s="1329"/>
      <c r="C121" s="1002"/>
      <c r="D121" s="1136"/>
      <c r="E121" s="1076"/>
      <c r="F121" s="1169"/>
      <c r="G121" s="1002"/>
      <c r="H121" s="1136"/>
      <c r="I121" s="1003"/>
      <c r="J121" s="1138"/>
      <c r="K121" s="1002"/>
      <c r="L121" s="1136"/>
      <c r="M121" s="1002"/>
      <c r="N121" s="1004"/>
      <c r="O121" s="1004"/>
      <c r="P121" s="1006"/>
      <c r="Q121" s="1006"/>
      <c r="R121" s="1007"/>
      <c r="S121" s="1006"/>
      <c r="T121" s="1006"/>
      <c r="U121" s="1006"/>
      <c r="V121" s="1006"/>
      <c r="W121" s="1006"/>
      <c r="X121" s="1008"/>
      <c r="Y121" s="1006"/>
      <c r="Z121" s="1006"/>
      <c r="AA121" s="1006"/>
      <c r="AB121" s="1006"/>
      <c r="AC121" s="1009"/>
      <c r="AD121" s="1006"/>
      <c r="AE121" s="1006"/>
      <c r="AF121" s="1006"/>
      <c r="AG121" s="1006"/>
      <c r="AH121" s="1009"/>
      <c r="AI121" s="875"/>
      <c r="AJ121" s="1253"/>
      <c r="AK121" s="1253"/>
      <c r="AL121" s="1300"/>
      <c r="AM121" s="1301"/>
      <c r="AN121" s="1302"/>
      <c r="AO121" s="875"/>
      <c r="AP121" s="875"/>
      <c r="AQ121" s="1303"/>
      <c r="AR121" s="1300"/>
      <c r="AS121" s="1301"/>
      <c r="AT121" s="1300"/>
      <c r="AU121" s="1304"/>
      <c r="AV121" s="875"/>
      <c r="AW121" s="875"/>
      <c r="AX121" s="875"/>
      <c r="AY121" s="1279"/>
      <c r="AZ121" s="1279"/>
      <c r="BA121" s="1279"/>
      <c r="BB121" s="1279"/>
      <c r="BC121" s="1279"/>
      <c r="BD121" s="1279"/>
      <c r="BE121" s="1279"/>
      <c r="BF121" s="1279"/>
      <c r="BG121" s="1279"/>
      <c r="BH121" s="1279"/>
      <c r="BI121" s="1279"/>
      <c r="BJ121" s="1279"/>
      <c r="BK121" s="1279"/>
      <c r="BL121" s="1279"/>
      <c r="BM121" s="1279"/>
      <c r="BN121" s="1279"/>
      <c r="BO121" s="1279"/>
      <c r="BP121" s="1279"/>
      <c r="BQ121" s="1279"/>
      <c r="BR121" s="1279"/>
      <c r="BS121" s="1279"/>
      <c r="BT121" s="1279"/>
      <c r="BU121" s="1279"/>
      <c r="BV121" s="1279"/>
      <c r="BW121" s="1279"/>
      <c r="BX121" s="1279"/>
      <c r="BY121" s="1279"/>
      <c r="BZ121" s="1279"/>
      <c r="CA121" s="1279"/>
      <c r="CB121" s="1279"/>
      <c r="CC121" s="1279"/>
      <c r="CD121" s="1279"/>
      <c r="CE121" s="1279"/>
      <c r="CF121" s="1279"/>
      <c r="CG121" s="1279"/>
      <c r="CH121" s="1279"/>
      <c r="CI121" s="1279"/>
      <c r="CJ121" s="1279"/>
      <c r="CK121" s="1279"/>
      <c r="CL121" s="1279"/>
      <c r="CM121" s="1279"/>
      <c r="CN121" s="1279"/>
      <c r="CO121" s="1279"/>
      <c r="CP121" s="1279"/>
      <c r="CQ121" s="1279"/>
      <c r="CR121" s="1279"/>
      <c r="CS121" s="1279"/>
      <c r="CT121" s="1279"/>
      <c r="CU121" s="1279"/>
      <c r="CV121" s="1279"/>
      <c r="CW121" s="1279"/>
      <c r="CX121" s="1279"/>
      <c r="CY121" s="1279"/>
      <c r="CZ121" s="1279"/>
      <c r="DA121" s="1279"/>
      <c r="DB121" s="1279"/>
      <c r="DC121" s="1279"/>
      <c r="DD121" s="1279"/>
      <c r="DE121" s="1279"/>
      <c r="DF121" s="1279"/>
      <c r="DG121" s="1279"/>
      <c r="DH121" s="1279"/>
      <c r="DI121" s="1279"/>
      <c r="DJ121" s="1279"/>
      <c r="DK121" s="1279"/>
      <c r="DL121" s="1279"/>
      <c r="DM121" s="1279"/>
      <c r="DN121" s="1279"/>
      <c r="DO121" s="1279"/>
      <c r="DP121" s="1279"/>
      <c r="DQ121" s="1279"/>
      <c r="DR121" s="1279"/>
      <c r="DS121" s="1279"/>
      <c r="DT121" s="1279"/>
      <c r="DU121" s="1279"/>
      <c r="DV121" s="1279"/>
      <c r="DW121" s="1279"/>
      <c r="DX121" s="1279"/>
      <c r="DY121" s="1279"/>
      <c r="DZ121" s="1279"/>
      <c r="EA121" s="1279"/>
      <c r="EB121" s="1279"/>
      <c r="EC121" s="1279"/>
      <c r="ED121" s="1279"/>
      <c r="EE121" s="1279"/>
      <c r="EF121" s="1279"/>
      <c r="EG121" s="1279"/>
      <c r="EH121" s="1279"/>
      <c r="EI121" s="1279"/>
      <c r="EJ121" s="1279"/>
      <c r="EK121" s="1279"/>
      <c r="EL121" s="1279"/>
      <c r="EM121" s="1279"/>
      <c r="EN121" s="1056"/>
      <c r="EO121" s="1056"/>
    </row>
    <row r="122" spans="1:145" s="972" customFormat="1" ht="15">
      <c r="A122" s="1028" t="s">
        <v>94</v>
      </c>
      <c r="B122" s="1028"/>
      <c r="C122" s="645"/>
      <c r="D122" s="1218"/>
      <c r="E122" s="1001"/>
      <c r="F122" s="1219"/>
      <c r="G122" s="1051"/>
      <c r="H122" s="1141"/>
      <c r="I122" s="1003"/>
      <c r="J122" s="1138"/>
      <c r="K122" s="1023"/>
      <c r="L122" s="1137"/>
      <c r="M122" s="1023"/>
      <c r="N122" s="1014"/>
      <c r="O122" s="1060"/>
      <c r="P122" s="1029"/>
      <c r="Q122" s="1029"/>
      <c r="R122" s="1007"/>
      <c r="S122" s="1006"/>
      <c r="T122" s="1006"/>
      <c r="U122" s="1006"/>
      <c r="V122" s="1006"/>
      <c r="W122" s="1006"/>
      <c r="X122" s="1009"/>
      <c r="Y122" s="1006"/>
      <c r="Z122" s="1006"/>
      <c r="AA122" s="1006"/>
      <c r="AB122" s="1006"/>
      <c r="AC122" s="1009"/>
      <c r="AD122" s="1029"/>
      <c r="AE122" s="1029"/>
      <c r="AF122" s="1029"/>
      <c r="AG122" s="1029"/>
      <c r="AH122" s="1009"/>
      <c r="AI122" s="875"/>
      <c r="AJ122" s="1253"/>
      <c r="AK122" s="1253"/>
      <c r="AL122" s="1300"/>
      <c r="AM122" s="1301"/>
      <c r="AN122" s="1302"/>
      <c r="AO122" s="875"/>
      <c r="AP122" s="875"/>
      <c r="AQ122" s="1303"/>
      <c r="AR122" s="1300"/>
      <c r="AS122" s="1301"/>
      <c r="AT122" s="1300"/>
      <c r="AU122" s="1304"/>
      <c r="AV122" s="875"/>
      <c r="AW122" s="875"/>
      <c r="AX122" s="875"/>
      <c r="AY122" s="1279"/>
      <c r="AZ122" s="1279"/>
      <c r="BA122" s="1279"/>
      <c r="BB122" s="1279"/>
      <c r="BC122" s="1279"/>
      <c r="BD122" s="1279"/>
      <c r="BE122" s="1279"/>
      <c r="BF122" s="1279"/>
      <c r="BG122" s="1279"/>
      <c r="BH122" s="1279"/>
      <c r="BI122" s="1279"/>
      <c r="BJ122" s="1279"/>
      <c r="BK122" s="1279"/>
      <c r="BL122" s="1279"/>
      <c r="BM122" s="1279"/>
      <c r="BN122" s="1279"/>
      <c r="BO122" s="1279"/>
      <c r="BP122" s="1279"/>
      <c r="BQ122" s="1279"/>
      <c r="BR122" s="1279"/>
      <c r="BS122" s="1279"/>
      <c r="BT122" s="1279"/>
      <c r="BU122" s="1279"/>
      <c r="BV122" s="1279"/>
      <c r="BW122" s="1279"/>
      <c r="BX122" s="1279"/>
      <c r="BY122" s="1279"/>
      <c r="BZ122" s="1279"/>
      <c r="CA122" s="1279"/>
      <c r="CB122" s="1279"/>
      <c r="CC122" s="1279"/>
      <c r="CD122" s="1279"/>
      <c r="CE122" s="1279"/>
      <c r="CF122" s="1279"/>
      <c r="CG122" s="1279"/>
      <c r="CH122" s="1279"/>
      <c r="CI122" s="1279"/>
      <c r="CJ122" s="1279"/>
      <c r="CK122" s="1279"/>
      <c r="CL122" s="1279"/>
      <c r="CM122" s="1279"/>
      <c r="CN122" s="1279"/>
      <c r="CO122" s="1279"/>
      <c r="CP122" s="1279"/>
      <c r="CQ122" s="1279"/>
      <c r="CR122" s="1279"/>
      <c r="CS122" s="1279"/>
      <c r="CT122" s="1279"/>
      <c r="CU122" s="1279"/>
      <c r="CV122" s="1279"/>
      <c r="CW122" s="1279"/>
      <c r="CX122" s="1279"/>
      <c r="CY122" s="1279"/>
      <c r="CZ122" s="1279"/>
      <c r="DA122" s="1279"/>
      <c r="DB122" s="1279"/>
      <c r="DC122" s="1279"/>
      <c r="DD122" s="1279"/>
      <c r="DE122" s="1279"/>
      <c r="DF122" s="1279"/>
      <c r="DG122" s="1279"/>
      <c r="DH122" s="1279"/>
      <c r="DI122" s="1279"/>
      <c r="DJ122" s="1279"/>
      <c r="DK122" s="1279"/>
      <c r="DL122" s="1279"/>
      <c r="DM122" s="1279"/>
      <c r="DN122" s="1279"/>
      <c r="DO122" s="1279"/>
      <c r="DP122" s="1279"/>
      <c r="DQ122" s="1279"/>
      <c r="DR122" s="1279"/>
      <c r="DS122" s="1279"/>
      <c r="DT122" s="1279"/>
      <c r="DU122" s="1279"/>
      <c r="DV122" s="1279"/>
      <c r="DW122" s="1279"/>
      <c r="DX122" s="1279"/>
      <c r="DY122" s="1279"/>
      <c r="DZ122" s="1279"/>
      <c r="EA122" s="1279"/>
      <c r="EB122" s="1279"/>
      <c r="EC122" s="1279"/>
      <c r="ED122" s="1279"/>
      <c r="EE122" s="1279"/>
      <c r="EF122" s="1279"/>
      <c r="EG122" s="1279"/>
      <c r="EH122" s="1279"/>
      <c r="EI122" s="1279"/>
      <c r="EJ122" s="1279"/>
      <c r="EK122" s="1279"/>
      <c r="EL122" s="1279"/>
      <c r="EM122" s="1279"/>
      <c r="EN122" s="1056"/>
      <c r="EO122" s="1056"/>
    </row>
    <row r="123" spans="1:145" s="1070" customFormat="1" ht="15">
      <c r="A123" s="1011" t="s">
        <v>897</v>
      </c>
      <c r="B123" s="1028">
        <v>8</v>
      </c>
      <c r="C123" s="645">
        <f>'Line Item Descriptions'!F124</f>
        <v>53</v>
      </c>
      <c r="D123" s="1218">
        <v>35</v>
      </c>
      <c r="E123" s="1076">
        <f>Number_of_Students/Student_Workstation_Ratio</f>
        <v>197725.68766666666</v>
      </c>
      <c r="F123" s="1169">
        <v>95727.33333333333</v>
      </c>
      <c r="G123" s="1002"/>
      <c r="H123" s="1136"/>
      <c r="I123" s="1003">
        <f aca="true" t="shared" si="69" ref="I123:I131">K123/E123</f>
        <v>53</v>
      </c>
      <c r="J123" s="1138">
        <v>35</v>
      </c>
      <c r="K123" s="1002">
        <f>P123/BudgetYears</f>
        <v>10479461.446333334</v>
      </c>
      <c r="L123" s="1136">
        <v>3350456.6666666665</v>
      </c>
      <c r="M123" s="1002">
        <f>'TAR Numbers'!CZ10+'TAR Numbers'!DA10</f>
        <v>113613.845</v>
      </c>
      <c r="N123" s="1004">
        <v>1</v>
      </c>
      <c r="O123" s="1005">
        <f>E123*Software!C178</f>
        <v>0</v>
      </c>
      <c r="P123" s="1006">
        <f>(C123*E123)*(BudgetYears/N123)</f>
        <v>62876768.678</v>
      </c>
      <c r="Q123" s="1006">
        <f aca="true" t="shared" si="70" ref="Q123:Q130">(P123)-(O123*3)</f>
        <v>62876768.678</v>
      </c>
      <c r="R123" s="1007" t="s">
        <v>18</v>
      </c>
      <c r="S123" s="1006">
        <f aca="true" t="shared" si="71" ref="S123:S130">IF($R123="S/L or L",$P123,0)</f>
        <v>62876768.678</v>
      </c>
      <c r="T123" s="1006">
        <f aca="true" t="shared" si="72" ref="T123:T130">IF($R123="L",$P123,0)</f>
        <v>0</v>
      </c>
      <c r="U123" s="1006">
        <f aca="true" t="shared" si="73" ref="U123:U130">IF($R123="S",$P123,0)</f>
        <v>0</v>
      </c>
      <c r="V123" s="1006">
        <f aca="true" t="shared" si="74" ref="V123:V130">IF($R123="F",$P123,0)</f>
        <v>0</v>
      </c>
      <c r="W123" s="1006">
        <f aca="true" t="shared" si="75" ref="W123:W130">SUM(S123:V123)</f>
        <v>62876768.678</v>
      </c>
      <c r="X123" s="1008" t="s">
        <v>25</v>
      </c>
      <c r="Y123" s="1006">
        <f aca="true" t="shared" si="76" ref="Y123:Y130">IF($R123="S/L or L",$K123,0)</f>
        <v>10479461.446333334</v>
      </c>
      <c r="Z123" s="1006">
        <f aca="true" t="shared" si="77" ref="Z123:Z130">IF($R123="L",$K123,0)</f>
        <v>0</v>
      </c>
      <c r="AA123" s="1006">
        <f aca="true" t="shared" si="78" ref="AA123:AA130">IF($R123="S",$K123,0)</f>
        <v>0</v>
      </c>
      <c r="AB123" s="1006">
        <f aca="true" t="shared" si="79" ref="AB123:AB130">IF($R123="F",$K123,0)</f>
        <v>0</v>
      </c>
      <c r="AC123" s="1009">
        <f aca="true" t="shared" si="80" ref="AC123:AC130">SUM(Y123:AB123)</f>
        <v>10479461.446333334</v>
      </c>
      <c r="AD123" s="1006">
        <f aca="true" t="shared" si="81" ref="AD123:AD130">IF($R123="S/L or L",$O123,0)</f>
        <v>0</v>
      </c>
      <c r="AE123" s="1006">
        <f aca="true" t="shared" si="82" ref="AE123:AE130">IF($R123="L",$O123,0)</f>
        <v>0</v>
      </c>
      <c r="AF123" s="1006">
        <f aca="true" t="shared" si="83" ref="AF123:AF130">IF($R123="S",$O123,0)</f>
        <v>0</v>
      </c>
      <c r="AG123" s="1006">
        <f aca="true" t="shared" si="84" ref="AG123:AG130">IF($R123="F",$O123,0)</f>
        <v>0</v>
      </c>
      <c r="AH123" s="1009">
        <f aca="true" t="shared" si="85" ref="AH123:AH130">SUM(AD123:AG123)</f>
        <v>0</v>
      </c>
      <c r="AI123" s="875"/>
      <c r="AJ123" s="1253"/>
      <c r="AK123" s="1253"/>
      <c r="AL123" s="1300"/>
      <c r="AM123" s="1301"/>
      <c r="AN123" s="1302"/>
      <c r="AO123" s="875"/>
      <c r="AP123" s="875"/>
      <c r="AQ123" s="1303"/>
      <c r="AR123" s="1300"/>
      <c r="AS123" s="1301"/>
      <c r="AT123" s="1300"/>
      <c r="AU123" s="1304"/>
      <c r="AV123" s="875"/>
      <c r="AW123" s="875"/>
      <c r="AX123" s="875"/>
      <c r="AY123" s="1279"/>
      <c r="AZ123" s="1279"/>
      <c r="BA123" s="1279"/>
      <c r="BB123" s="1279"/>
      <c r="BC123" s="1279"/>
      <c r="BD123" s="1279"/>
      <c r="BE123" s="1279"/>
      <c r="BF123" s="1279"/>
      <c r="BG123" s="1279"/>
      <c r="BH123" s="1279"/>
      <c r="BI123" s="1279"/>
      <c r="BJ123" s="1279"/>
      <c r="BK123" s="1279"/>
      <c r="BL123" s="1279"/>
      <c r="BM123" s="1279"/>
      <c r="BN123" s="1279"/>
      <c r="BO123" s="1279"/>
      <c r="BP123" s="1279"/>
      <c r="BQ123" s="1279"/>
      <c r="BR123" s="1279"/>
      <c r="BS123" s="1279"/>
      <c r="BT123" s="1279"/>
      <c r="BU123" s="1279"/>
      <c r="BV123" s="1279"/>
      <c r="BW123" s="1279"/>
      <c r="BX123" s="1279"/>
      <c r="BY123" s="1279"/>
      <c r="BZ123" s="1279"/>
      <c r="CA123" s="1279"/>
      <c r="CB123" s="1279"/>
      <c r="CC123" s="1279"/>
      <c r="CD123" s="1279"/>
      <c r="CE123" s="1279"/>
      <c r="CF123" s="1279"/>
      <c r="CG123" s="1279"/>
      <c r="CH123" s="1279"/>
      <c r="CI123" s="1279"/>
      <c r="CJ123" s="1279"/>
      <c r="CK123" s="1279"/>
      <c r="CL123" s="1279"/>
      <c r="CM123" s="1279"/>
      <c r="CN123" s="1279"/>
      <c r="CO123" s="1279"/>
      <c r="CP123" s="1279"/>
      <c r="CQ123" s="1279"/>
      <c r="CR123" s="1279"/>
      <c r="CS123" s="1279"/>
      <c r="CT123" s="1279"/>
      <c r="CU123" s="1279"/>
      <c r="CV123" s="1279"/>
      <c r="CW123" s="1279"/>
      <c r="CX123" s="1279"/>
      <c r="CY123" s="1279"/>
      <c r="CZ123" s="1279"/>
      <c r="DA123" s="1279"/>
      <c r="DB123" s="1279"/>
      <c r="DC123" s="1279"/>
      <c r="DD123" s="1279"/>
      <c r="DE123" s="1279"/>
      <c r="DF123" s="1279"/>
      <c r="DG123" s="1279"/>
      <c r="DH123" s="1279"/>
      <c r="DI123" s="1279"/>
      <c r="DJ123" s="1279"/>
      <c r="DK123" s="1279"/>
      <c r="DL123" s="1279"/>
      <c r="DM123" s="1279"/>
      <c r="DN123" s="1279"/>
      <c r="DO123" s="1279"/>
      <c r="DP123" s="1279"/>
      <c r="DQ123" s="1279"/>
      <c r="DR123" s="1279"/>
      <c r="DS123" s="1279"/>
      <c r="DT123" s="1279"/>
      <c r="DU123" s="1279"/>
      <c r="DV123" s="1279"/>
      <c r="DW123" s="1279"/>
      <c r="DX123" s="1279"/>
      <c r="DY123" s="1279"/>
      <c r="DZ123" s="1279"/>
      <c r="EA123" s="1279"/>
      <c r="EB123" s="1279"/>
      <c r="EC123" s="1279"/>
      <c r="ED123" s="1279"/>
      <c r="EE123" s="1279"/>
      <c r="EF123" s="1279"/>
      <c r="EG123" s="1279"/>
      <c r="EH123" s="1279"/>
      <c r="EI123" s="1279"/>
      <c r="EJ123" s="1279"/>
      <c r="EK123" s="1279"/>
      <c r="EL123" s="1279"/>
      <c r="EM123" s="1279"/>
      <c r="EN123" s="1056"/>
      <c r="EO123" s="1056"/>
    </row>
    <row r="124" spans="1:143" s="1080" customFormat="1" ht="15">
      <c r="A124" s="1011" t="s">
        <v>1898</v>
      </c>
      <c r="B124" s="1028"/>
      <c r="C124" s="645"/>
      <c r="D124" s="1218"/>
      <c r="E124" s="1076"/>
      <c r="F124" s="1169"/>
      <c r="G124" s="1002"/>
      <c r="H124" s="1136"/>
      <c r="I124" s="1003"/>
      <c r="J124" s="1138"/>
      <c r="K124" s="1002"/>
      <c r="L124" s="1136"/>
      <c r="M124" s="1002"/>
      <c r="N124" s="1004"/>
      <c r="O124" s="1005"/>
      <c r="P124" s="1006"/>
      <c r="Q124" s="1006"/>
      <c r="R124" s="1007"/>
      <c r="S124" s="1006"/>
      <c r="T124" s="1006"/>
      <c r="U124" s="1006"/>
      <c r="V124" s="1006"/>
      <c r="W124" s="1006"/>
      <c r="X124" s="1008"/>
      <c r="Y124" s="1006"/>
      <c r="Z124" s="1006"/>
      <c r="AA124" s="1006"/>
      <c r="AB124" s="1006"/>
      <c r="AC124" s="1009"/>
      <c r="AD124" s="1006"/>
      <c r="AE124" s="1006"/>
      <c r="AF124" s="1006"/>
      <c r="AG124" s="1006"/>
      <c r="AH124" s="1009"/>
      <c r="AI124" s="1010"/>
      <c r="AJ124" s="1011" t="s">
        <v>1903</v>
      </c>
      <c r="AK124" s="1011">
        <v>15</v>
      </c>
      <c r="AL124" s="863">
        <f>'Line Item Descriptions'!F243</f>
        <v>53</v>
      </c>
      <c r="AM124" s="1177">
        <v>35</v>
      </c>
      <c r="AN124" s="1012">
        <f>AN6+AN61</f>
        <v>396550.3753333333</v>
      </c>
      <c r="AO124" s="1010"/>
      <c r="AP124" s="1010"/>
      <c r="AQ124" s="1209">
        <v>233807.6666666667</v>
      </c>
      <c r="AR124" s="863">
        <f>SUM(AL124*AN124)/AU124</f>
        <v>21017169.892666664</v>
      </c>
      <c r="AS124" s="1177">
        <v>8183268.333333334</v>
      </c>
      <c r="AT124" s="863"/>
      <c r="AU124" s="1007">
        <v>1</v>
      </c>
      <c r="AV124" s="1010"/>
      <c r="AW124" s="1010"/>
      <c r="AX124" s="1010"/>
      <c r="AY124" s="994"/>
      <c r="AZ124" s="994"/>
      <c r="BA124" s="994"/>
      <c r="BB124" s="994"/>
      <c r="BC124" s="994"/>
      <c r="BD124" s="994"/>
      <c r="BE124" s="994"/>
      <c r="BF124" s="994"/>
      <c r="BG124" s="994"/>
      <c r="BH124" s="994"/>
      <c r="BI124" s="994"/>
      <c r="BJ124" s="994"/>
      <c r="BK124" s="994"/>
      <c r="BL124" s="994"/>
      <c r="BM124" s="994"/>
      <c r="BN124" s="994"/>
      <c r="BO124" s="994"/>
      <c r="BP124" s="994"/>
      <c r="BQ124" s="994"/>
      <c r="BR124" s="994"/>
      <c r="BS124" s="994"/>
      <c r="BT124" s="994"/>
      <c r="BU124" s="994"/>
      <c r="BV124" s="994"/>
      <c r="BW124" s="994"/>
      <c r="BX124" s="994"/>
      <c r="BY124" s="994"/>
      <c r="BZ124" s="994"/>
      <c r="CA124" s="994"/>
      <c r="CB124" s="994"/>
      <c r="CC124" s="994"/>
      <c r="CD124" s="994"/>
      <c r="CE124" s="994"/>
      <c r="CF124" s="994"/>
      <c r="CG124" s="994"/>
      <c r="CH124" s="994"/>
      <c r="CI124" s="994"/>
      <c r="CJ124" s="994"/>
      <c r="CK124" s="994"/>
      <c r="CL124" s="994"/>
      <c r="CM124" s="994"/>
      <c r="CN124" s="994"/>
      <c r="CO124" s="994"/>
      <c r="CP124" s="994"/>
      <c r="CQ124" s="994"/>
      <c r="CR124" s="994"/>
      <c r="CS124" s="994"/>
      <c r="CT124" s="994"/>
      <c r="CU124" s="994"/>
      <c r="CV124" s="994"/>
      <c r="CW124" s="994"/>
      <c r="CX124" s="994"/>
      <c r="CY124" s="994"/>
      <c r="CZ124" s="994"/>
      <c r="DA124" s="994"/>
      <c r="DB124" s="994"/>
      <c r="DC124" s="994"/>
      <c r="DD124" s="994"/>
      <c r="DE124" s="994"/>
      <c r="DF124" s="994"/>
      <c r="DG124" s="994"/>
      <c r="DH124" s="994"/>
      <c r="DI124" s="994"/>
      <c r="DJ124" s="994"/>
      <c r="DK124" s="994"/>
      <c r="DL124" s="994"/>
      <c r="DM124" s="994"/>
      <c r="DN124" s="994"/>
      <c r="DO124" s="994"/>
      <c r="DP124" s="994"/>
      <c r="DQ124" s="994"/>
      <c r="DR124" s="994"/>
      <c r="DS124" s="994"/>
      <c r="DT124" s="994"/>
      <c r="DU124" s="994"/>
      <c r="DV124" s="994"/>
      <c r="DW124" s="994"/>
      <c r="DX124" s="994"/>
      <c r="DY124" s="994"/>
      <c r="DZ124" s="994"/>
      <c r="EA124" s="994"/>
      <c r="EB124" s="994"/>
      <c r="EC124" s="994"/>
      <c r="ED124" s="994"/>
      <c r="EE124" s="994"/>
      <c r="EF124" s="994"/>
      <c r="EG124" s="994"/>
      <c r="EH124" s="994"/>
      <c r="EI124" s="994"/>
      <c r="EJ124" s="994"/>
      <c r="EK124" s="994"/>
      <c r="EL124" s="994"/>
      <c r="EM124" s="994"/>
    </row>
    <row r="125" spans="1:145" s="972" customFormat="1" ht="30.75">
      <c r="A125" s="1011" t="s">
        <v>899</v>
      </c>
      <c r="B125" s="1028">
        <v>107</v>
      </c>
      <c r="C125" s="645">
        <f>'Line Item Descriptions'!F126</f>
        <v>116</v>
      </c>
      <c r="D125" s="1218">
        <v>29</v>
      </c>
      <c r="E125" s="1001">
        <v>4394</v>
      </c>
      <c r="F125" s="1219">
        <v>4394</v>
      </c>
      <c r="G125" s="1051"/>
      <c r="H125" s="1141"/>
      <c r="I125" s="1003">
        <f t="shared" si="69"/>
        <v>19.333333333333336</v>
      </c>
      <c r="J125" s="1138">
        <v>4.833333333333334</v>
      </c>
      <c r="K125" s="1002">
        <f>P125/BudgetYears</f>
        <v>84950.66666666667</v>
      </c>
      <c r="L125" s="1136">
        <v>21237.666666666668</v>
      </c>
      <c r="M125" s="1002">
        <f>'TAR Numbers'!DB10+'TAR Numbers'!DC10</f>
        <v>504602.17499999993</v>
      </c>
      <c r="N125" s="1014">
        <v>5</v>
      </c>
      <c r="O125" s="1015">
        <f>(USFInternal)*K125</f>
        <v>59465.46666666667</v>
      </c>
      <c r="P125" s="1370">
        <f>(C125*E125)</f>
        <v>509704</v>
      </c>
      <c r="Q125" s="1006">
        <f t="shared" si="70"/>
        <v>331307.6</v>
      </c>
      <c r="R125" s="1007" t="s">
        <v>18</v>
      </c>
      <c r="S125" s="1006">
        <f t="shared" si="71"/>
        <v>509704</v>
      </c>
      <c r="T125" s="1006">
        <f t="shared" si="72"/>
        <v>0</v>
      </c>
      <c r="U125" s="1006">
        <f t="shared" si="73"/>
        <v>0</v>
      </c>
      <c r="V125" s="1006">
        <f t="shared" si="74"/>
        <v>0</v>
      </c>
      <c r="W125" s="1006">
        <f t="shared" si="75"/>
        <v>509704</v>
      </c>
      <c r="X125" s="1016" t="s">
        <v>25</v>
      </c>
      <c r="Y125" s="1006">
        <f t="shared" si="76"/>
        <v>84950.66666666667</v>
      </c>
      <c r="Z125" s="1006">
        <f t="shared" si="77"/>
        <v>0</v>
      </c>
      <c r="AA125" s="1006">
        <f t="shared" si="78"/>
        <v>0</v>
      </c>
      <c r="AB125" s="1006">
        <f t="shared" si="79"/>
        <v>0</v>
      </c>
      <c r="AC125" s="1009">
        <f t="shared" si="80"/>
        <v>84950.66666666667</v>
      </c>
      <c r="AD125" s="1006">
        <f t="shared" si="81"/>
        <v>59465.46666666667</v>
      </c>
      <c r="AE125" s="1006">
        <f t="shared" si="82"/>
        <v>0</v>
      </c>
      <c r="AF125" s="1006">
        <f t="shared" si="83"/>
        <v>0</v>
      </c>
      <c r="AG125" s="1006">
        <f t="shared" si="84"/>
        <v>0</v>
      </c>
      <c r="AH125" s="1009">
        <f t="shared" si="85"/>
        <v>59465.46666666667</v>
      </c>
      <c r="AI125" s="875"/>
      <c r="AJ125" s="1253"/>
      <c r="AK125" s="1253"/>
      <c r="AL125" s="1300"/>
      <c r="AM125" s="1301"/>
      <c r="AN125" s="1302"/>
      <c r="AO125" s="875"/>
      <c r="AP125" s="875"/>
      <c r="AQ125" s="1303"/>
      <c r="AR125" s="863"/>
      <c r="AS125" s="1177"/>
      <c r="AT125" s="863"/>
      <c r="AU125" s="1304"/>
      <c r="AV125" s="875"/>
      <c r="AW125" s="875"/>
      <c r="AX125" s="875"/>
      <c r="AY125" s="1279"/>
      <c r="AZ125" s="1279"/>
      <c r="BA125" s="1279"/>
      <c r="BB125" s="1279"/>
      <c r="BC125" s="1279"/>
      <c r="BD125" s="1279"/>
      <c r="BE125" s="1279"/>
      <c r="BF125" s="1279"/>
      <c r="BG125" s="1279"/>
      <c r="BH125" s="1279"/>
      <c r="BI125" s="1279"/>
      <c r="BJ125" s="1279"/>
      <c r="BK125" s="1279"/>
      <c r="BL125" s="1279"/>
      <c r="BM125" s="1279"/>
      <c r="BN125" s="1279"/>
      <c r="BO125" s="1279"/>
      <c r="BP125" s="1279"/>
      <c r="BQ125" s="1279"/>
      <c r="BR125" s="1279"/>
      <c r="BS125" s="1279"/>
      <c r="BT125" s="1279"/>
      <c r="BU125" s="1279"/>
      <c r="BV125" s="1279"/>
      <c r="BW125" s="1279"/>
      <c r="BX125" s="1279"/>
      <c r="BY125" s="1279"/>
      <c r="BZ125" s="1279"/>
      <c r="CA125" s="1279"/>
      <c r="CB125" s="1279"/>
      <c r="CC125" s="1279"/>
      <c r="CD125" s="1279"/>
      <c r="CE125" s="1279"/>
      <c r="CF125" s="1279"/>
      <c r="CG125" s="1279"/>
      <c r="CH125" s="1279"/>
      <c r="CI125" s="1279"/>
      <c r="CJ125" s="1279"/>
      <c r="CK125" s="1279"/>
      <c r="CL125" s="1279"/>
      <c r="CM125" s="1279"/>
      <c r="CN125" s="1279"/>
      <c r="CO125" s="1279"/>
      <c r="CP125" s="1279"/>
      <c r="CQ125" s="1279"/>
      <c r="CR125" s="1279"/>
      <c r="CS125" s="1279"/>
      <c r="CT125" s="1279"/>
      <c r="CU125" s="1279"/>
      <c r="CV125" s="1279"/>
      <c r="CW125" s="1279"/>
      <c r="CX125" s="1279"/>
      <c r="CY125" s="1279"/>
      <c r="CZ125" s="1279"/>
      <c r="DA125" s="1279"/>
      <c r="DB125" s="1279"/>
      <c r="DC125" s="1279"/>
      <c r="DD125" s="1279"/>
      <c r="DE125" s="1279"/>
      <c r="DF125" s="1279"/>
      <c r="DG125" s="1279"/>
      <c r="DH125" s="1279"/>
      <c r="DI125" s="1279"/>
      <c r="DJ125" s="1279"/>
      <c r="DK125" s="1279"/>
      <c r="DL125" s="1279"/>
      <c r="DM125" s="1279"/>
      <c r="DN125" s="1279"/>
      <c r="DO125" s="1279"/>
      <c r="DP125" s="1279"/>
      <c r="DQ125" s="1279"/>
      <c r="DR125" s="1279"/>
      <c r="DS125" s="1279"/>
      <c r="DT125" s="1279"/>
      <c r="DU125" s="1279"/>
      <c r="DV125" s="1279"/>
      <c r="DW125" s="1279"/>
      <c r="DX125" s="1279"/>
      <c r="DY125" s="1279"/>
      <c r="DZ125" s="1279"/>
      <c r="EA125" s="1279"/>
      <c r="EB125" s="1279"/>
      <c r="EC125" s="1279"/>
      <c r="ED125" s="1279"/>
      <c r="EE125" s="1279"/>
      <c r="EF125" s="1279"/>
      <c r="EG125" s="1279"/>
      <c r="EH125" s="1279"/>
      <c r="EI125" s="1279"/>
      <c r="EJ125" s="1279"/>
      <c r="EK125" s="1279"/>
      <c r="EL125" s="1279"/>
      <c r="EM125" s="1279"/>
      <c r="EN125" s="1056"/>
      <c r="EO125" s="1056"/>
    </row>
    <row r="126" spans="1:145" s="1081" customFormat="1" ht="30.75">
      <c r="A126" s="1011"/>
      <c r="B126" s="1028"/>
      <c r="C126" s="645"/>
      <c r="D126" s="1218"/>
      <c r="E126" s="1001"/>
      <c r="F126" s="1219"/>
      <c r="G126" s="1051"/>
      <c r="H126" s="1141"/>
      <c r="I126" s="1003"/>
      <c r="J126" s="1138"/>
      <c r="K126" s="1002"/>
      <c r="L126" s="1136"/>
      <c r="M126" s="1002"/>
      <c r="N126" s="1014"/>
      <c r="O126" s="1015"/>
      <c r="P126" s="1006"/>
      <c r="Q126" s="1006"/>
      <c r="R126" s="1007"/>
      <c r="S126" s="1006"/>
      <c r="T126" s="1006"/>
      <c r="U126" s="1006"/>
      <c r="V126" s="1006"/>
      <c r="W126" s="1006"/>
      <c r="X126" s="1016"/>
      <c r="Y126" s="1006"/>
      <c r="Z126" s="1006"/>
      <c r="AA126" s="1006"/>
      <c r="AB126" s="1006"/>
      <c r="AC126" s="1009"/>
      <c r="AD126" s="1006"/>
      <c r="AE126" s="1006"/>
      <c r="AF126" s="1006"/>
      <c r="AG126" s="1006"/>
      <c r="AH126" s="1009"/>
      <c r="AI126" s="1010"/>
      <c r="AJ126" s="1011" t="s">
        <v>1904</v>
      </c>
      <c r="AK126" s="1011">
        <v>107</v>
      </c>
      <c r="AL126" s="863">
        <f>'Line Item Descriptions'!F244</f>
        <v>116</v>
      </c>
      <c r="AM126" s="1177">
        <v>29</v>
      </c>
      <c r="AN126" s="1012">
        <f>AN18</f>
        <v>3741</v>
      </c>
      <c r="AO126" s="1010"/>
      <c r="AP126" s="1010"/>
      <c r="AQ126" s="1209">
        <v>4116</v>
      </c>
      <c r="AR126" s="863">
        <f>SUM(AL126*AN126)/AU126</f>
        <v>86791.2</v>
      </c>
      <c r="AS126" s="1177">
        <v>119364</v>
      </c>
      <c r="AT126" s="863"/>
      <c r="AU126" s="1007">
        <v>5</v>
      </c>
      <c r="AV126" s="1010"/>
      <c r="AW126" s="1010"/>
      <c r="AX126" s="1010"/>
      <c r="AY126" s="994"/>
      <c r="AZ126" s="994"/>
      <c r="BA126" s="994"/>
      <c r="BB126" s="994"/>
      <c r="BC126" s="994"/>
      <c r="BD126" s="994"/>
      <c r="BE126" s="994"/>
      <c r="BF126" s="994"/>
      <c r="BG126" s="994"/>
      <c r="BH126" s="994"/>
      <c r="BI126" s="994"/>
      <c r="BJ126" s="994"/>
      <c r="BK126" s="994"/>
      <c r="BL126" s="994"/>
      <c r="BM126" s="994"/>
      <c r="BN126" s="994"/>
      <c r="BO126" s="994"/>
      <c r="BP126" s="994"/>
      <c r="BQ126" s="994"/>
      <c r="BR126" s="994"/>
      <c r="BS126" s="994"/>
      <c r="BT126" s="994"/>
      <c r="BU126" s="994"/>
      <c r="BV126" s="994"/>
      <c r="BW126" s="994"/>
      <c r="BX126" s="994"/>
      <c r="BY126" s="994"/>
      <c r="BZ126" s="994"/>
      <c r="CA126" s="994"/>
      <c r="CB126" s="994"/>
      <c r="CC126" s="994"/>
      <c r="CD126" s="994"/>
      <c r="CE126" s="994"/>
      <c r="CF126" s="994"/>
      <c r="CG126" s="994"/>
      <c r="CH126" s="994"/>
      <c r="CI126" s="994"/>
      <c r="CJ126" s="994"/>
      <c r="CK126" s="994"/>
      <c r="CL126" s="994"/>
      <c r="CM126" s="994"/>
      <c r="CN126" s="994"/>
      <c r="CO126" s="994"/>
      <c r="CP126" s="994"/>
      <c r="CQ126" s="994"/>
      <c r="CR126" s="994"/>
      <c r="CS126" s="994"/>
      <c r="CT126" s="994"/>
      <c r="CU126" s="994"/>
      <c r="CV126" s="994"/>
      <c r="CW126" s="994"/>
      <c r="CX126" s="994"/>
      <c r="CY126" s="994"/>
      <c r="CZ126" s="994"/>
      <c r="DA126" s="994"/>
      <c r="DB126" s="994"/>
      <c r="DC126" s="994"/>
      <c r="DD126" s="994"/>
      <c r="DE126" s="994"/>
      <c r="DF126" s="994"/>
      <c r="DG126" s="994"/>
      <c r="DH126" s="994"/>
      <c r="DI126" s="994"/>
      <c r="DJ126" s="994"/>
      <c r="DK126" s="994"/>
      <c r="DL126" s="994"/>
      <c r="DM126" s="994"/>
      <c r="DN126" s="994"/>
      <c r="DO126" s="994"/>
      <c r="DP126" s="994"/>
      <c r="DQ126" s="994"/>
      <c r="DR126" s="994"/>
      <c r="DS126" s="994"/>
      <c r="DT126" s="994"/>
      <c r="DU126" s="994"/>
      <c r="DV126" s="994"/>
      <c r="DW126" s="994"/>
      <c r="DX126" s="994"/>
      <c r="DY126" s="994"/>
      <c r="DZ126" s="994"/>
      <c r="EA126" s="994"/>
      <c r="EB126" s="994"/>
      <c r="EC126" s="994"/>
      <c r="ED126" s="994"/>
      <c r="EE126" s="994"/>
      <c r="EF126" s="994"/>
      <c r="EG126" s="994"/>
      <c r="EH126" s="994"/>
      <c r="EI126" s="994"/>
      <c r="EJ126" s="994"/>
      <c r="EK126" s="994"/>
      <c r="EL126" s="994"/>
      <c r="EM126" s="994"/>
      <c r="EN126" s="1080"/>
      <c r="EO126" s="1080"/>
    </row>
    <row r="127" spans="1:145" s="1307" customFormat="1" ht="25.5">
      <c r="A127" s="1011" t="s">
        <v>1899</v>
      </c>
      <c r="B127" s="1028">
        <v>17</v>
      </c>
      <c r="C127" s="645"/>
      <c r="D127" s="1218">
        <v>1755</v>
      </c>
      <c r="E127" s="1001">
        <f>Number_of_Districts</f>
        <v>174</v>
      </c>
      <c r="F127" s="1219">
        <v>1424</v>
      </c>
      <c r="G127" s="1051"/>
      <c r="H127" s="1141"/>
      <c r="I127" s="1003">
        <f t="shared" si="69"/>
        <v>23564.840057471276</v>
      </c>
      <c r="J127" s="1138">
        <v>1755</v>
      </c>
      <c r="K127" s="1002">
        <f>'Line Item Descriptions'!F128</f>
        <v>4100282.170000002</v>
      </c>
      <c r="L127" s="1136">
        <v>2499120</v>
      </c>
      <c r="M127" s="1002"/>
      <c r="N127" s="1014">
        <v>1</v>
      </c>
      <c r="O127" s="1015">
        <v>0</v>
      </c>
      <c r="P127" s="1006">
        <f>(C127*E127)*(BudgetYears/N127)</f>
        <v>0</v>
      </c>
      <c r="Q127" s="1006">
        <f t="shared" si="70"/>
        <v>0</v>
      </c>
      <c r="R127" s="1007" t="s">
        <v>18</v>
      </c>
      <c r="S127" s="1006">
        <f t="shared" si="71"/>
        <v>0</v>
      </c>
      <c r="T127" s="1006">
        <f t="shared" si="72"/>
        <v>0</v>
      </c>
      <c r="U127" s="1006">
        <f t="shared" si="73"/>
        <v>0</v>
      </c>
      <c r="V127" s="1006">
        <f t="shared" si="74"/>
        <v>0</v>
      </c>
      <c r="W127" s="1006">
        <f t="shared" si="75"/>
        <v>0</v>
      </c>
      <c r="X127" s="1016"/>
      <c r="Y127" s="1006">
        <f t="shared" si="76"/>
        <v>4100282.170000002</v>
      </c>
      <c r="Z127" s="1006">
        <f t="shared" si="77"/>
        <v>0</v>
      </c>
      <c r="AA127" s="1006">
        <f t="shared" si="78"/>
        <v>0</v>
      </c>
      <c r="AB127" s="1006">
        <f t="shared" si="79"/>
        <v>0</v>
      </c>
      <c r="AC127" s="1009">
        <f t="shared" si="80"/>
        <v>4100282.170000002</v>
      </c>
      <c r="AD127" s="1006">
        <f t="shared" si="81"/>
        <v>0</v>
      </c>
      <c r="AE127" s="1006">
        <f t="shared" si="82"/>
        <v>0</v>
      </c>
      <c r="AF127" s="1006">
        <f t="shared" si="83"/>
        <v>0</v>
      </c>
      <c r="AG127" s="1006">
        <f t="shared" si="84"/>
        <v>0</v>
      </c>
      <c r="AH127" s="1009">
        <f t="shared" si="85"/>
        <v>0</v>
      </c>
      <c r="AI127" s="972"/>
      <c r="AJ127" s="1272" t="s">
        <v>934</v>
      </c>
      <c r="AK127" s="1272">
        <v>17</v>
      </c>
      <c r="AL127" s="1273" t="s">
        <v>908</v>
      </c>
      <c r="AM127" s="1274" t="s">
        <v>908</v>
      </c>
      <c r="AN127" s="1275" t="s">
        <v>908</v>
      </c>
      <c r="AO127" s="1276"/>
      <c r="AP127" s="1276"/>
      <c r="AQ127" s="1277" t="s">
        <v>908</v>
      </c>
      <c r="AR127" s="1273" t="s">
        <v>908</v>
      </c>
      <c r="AS127" s="1274" t="s">
        <v>908</v>
      </c>
      <c r="AT127" s="1273">
        <f>'TAR Numbers'!DD10+'TAR Numbers'!DE10</f>
        <v>998650.4099999999</v>
      </c>
      <c r="AU127" s="1278" t="s">
        <v>908</v>
      </c>
      <c r="AV127" s="1276"/>
      <c r="AW127" s="1276"/>
      <c r="AX127" s="1276"/>
      <c r="AY127" s="1369"/>
      <c r="AZ127" s="1369"/>
      <c r="BA127" s="1369"/>
      <c r="BB127" s="1369"/>
      <c r="BC127" s="1369"/>
      <c r="BD127" s="1369"/>
      <c r="BE127" s="1369"/>
      <c r="BF127" s="1369"/>
      <c r="BG127" s="1369"/>
      <c r="BH127" s="1369"/>
      <c r="BI127" s="1369"/>
      <c r="BJ127" s="1056"/>
      <c r="BK127" s="1056"/>
      <c r="BL127" s="1056"/>
      <c r="BM127" s="1056"/>
      <c r="BN127" s="1056"/>
      <c r="BO127" s="1056"/>
      <c r="BP127" s="1056"/>
      <c r="BQ127" s="1056"/>
      <c r="BR127" s="1056"/>
      <c r="BS127" s="1056"/>
      <c r="BT127" s="1056"/>
      <c r="BU127" s="1056"/>
      <c r="BV127" s="1056"/>
      <c r="BW127" s="1056"/>
      <c r="BX127" s="1056"/>
      <c r="BY127" s="1056"/>
      <c r="BZ127" s="1056"/>
      <c r="CA127" s="1056"/>
      <c r="CB127" s="1056"/>
      <c r="CC127" s="1056"/>
      <c r="CD127" s="1056"/>
      <c r="CE127" s="1056"/>
      <c r="CF127" s="1056"/>
      <c r="CG127" s="1056"/>
      <c r="CH127" s="1056"/>
      <c r="CI127" s="1056"/>
      <c r="CJ127" s="1056"/>
      <c r="CK127" s="1056"/>
      <c r="CL127" s="1056"/>
      <c r="CM127" s="1056"/>
      <c r="CN127" s="1056"/>
      <c r="CO127" s="1056"/>
      <c r="CP127" s="1056"/>
      <c r="CQ127" s="1056"/>
      <c r="CR127" s="1056"/>
      <c r="CS127" s="1056"/>
      <c r="CT127" s="1056"/>
      <c r="CU127" s="1056"/>
      <c r="CV127" s="1056"/>
      <c r="CW127" s="1056"/>
      <c r="CX127" s="1056"/>
      <c r="CY127" s="1056"/>
      <c r="CZ127" s="1056"/>
      <c r="DA127" s="1056"/>
      <c r="DB127" s="1056"/>
      <c r="DC127" s="1056"/>
      <c r="DD127" s="1056"/>
      <c r="DE127" s="1056"/>
      <c r="DF127" s="1056"/>
      <c r="DG127" s="1056"/>
      <c r="DH127" s="1056"/>
      <c r="DI127" s="1056"/>
      <c r="DJ127" s="1056"/>
      <c r="DK127" s="1056"/>
      <c r="DL127" s="1056"/>
      <c r="DM127" s="1056"/>
      <c r="DN127" s="1056"/>
      <c r="DO127" s="1056"/>
      <c r="DP127" s="1056"/>
      <c r="DQ127" s="1056"/>
      <c r="DR127" s="1056"/>
      <c r="DS127" s="1056"/>
      <c r="DT127" s="1056"/>
      <c r="DU127" s="1056"/>
      <c r="DV127" s="1056"/>
      <c r="DW127" s="1056"/>
      <c r="DX127" s="1056"/>
      <c r="DY127" s="1056"/>
      <c r="DZ127" s="1056"/>
      <c r="EA127" s="1056"/>
      <c r="EB127" s="1056"/>
      <c r="EC127" s="1056"/>
      <c r="ED127" s="1056"/>
      <c r="EE127" s="1056"/>
      <c r="EF127" s="1056"/>
      <c r="EG127" s="1056"/>
      <c r="EH127" s="1056"/>
      <c r="EI127" s="1056"/>
      <c r="EJ127" s="1056"/>
      <c r="EK127" s="1056"/>
      <c r="EL127" s="1056"/>
      <c r="EM127" s="1056"/>
      <c r="EN127" s="1313"/>
      <c r="EO127" s="1313"/>
    </row>
    <row r="128" spans="1:145" ht="15">
      <c r="A128" s="1011"/>
      <c r="B128" s="1028"/>
      <c r="C128" s="645"/>
      <c r="D128" s="1218"/>
      <c r="F128" s="1219"/>
      <c r="G128" s="1051"/>
      <c r="H128" s="1141"/>
      <c r="I128" s="1003"/>
      <c r="J128" s="1138"/>
      <c r="K128" s="1002"/>
      <c r="L128" s="1136"/>
      <c r="M128" s="1002"/>
      <c r="N128" s="1014"/>
      <c r="O128" s="1015"/>
      <c r="P128" s="1006"/>
      <c r="Q128" s="1006"/>
      <c r="R128" s="1007"/>
      <c r="S128" s="1006">
        <f>IF($R128="S/L or L",$P128,0)</f>
        <v>0</v>
      </c>
      <c r="T128" s="1006">
        <f>IF($R128="L",$P128,0)</f>
        <v>0</v>
      </c>
      <c r="U128" s="1006">
        <f>IF($R128="S",$P128,0)</f>
        <v>0</v>
      </c>
      <c r="V128" s="1006">
        <f>IF($R128="F",$P128,0)</f>
        <v>0</v>
      </c>
      <c r="W128" s="1006">
        <f>SUM(S128:V128)</f>
        <v>0</v>
      </c>
      <c r="X128" s="1016" t="s">
        <v>25</v>
      </c>
      <c r="Y128" s="1006">
        <f>IF($R128="S/L or L",$K128,0)</f>
        <v>0</v>
      </c>
      <c r="Z128" s="1006">
        <f>IF($R128="L",$K128,0)</f>
        <v>0</v>
      </c>
      <c r="AA128" s="1006">
        <f>IF($R128="S",$K128,0)</f>
        <v>0</v>
      </c>
      <c r="AB128" s="1006">
        <f>IF($R128="F",$K128,0)</f>
        <v>0</v>
      </c>
      <c r="AC128" s="1009">
        <f>SUM(Y128:AB128)</f>
        <v>0</v>
      </c>
      <c r="AD128" s="1006">
        <f>IF($R128="S/L or L",$O128,0)</f>
        <v>0</v>
      </c>
      <c r="AE128" s="1006">
        <f>IF($R128="L",$O128,0)</f>
        <v>0</v>
      </c>
      <c r="AF128" s="1006">
        <f>IF($R128="S",$O128,0)</f>
        <v>0</v>
      </c>
      <c r="AG128" s="1006">
        <f>IF($R128="F",$O128,0)</f>
        <v>0</v>
      </c>
      <c r="AH128" s="1009">
        <f>SUM(AD128:AG128)</f>
        <v>0</v>
      </c>
      <c r="AI128" s="1307"/>
      <c r="AJ128" s="1011" t="s">
        <v>901</v>
      </c>
      <c r="AK128" s="1028">
        <v>10</v>
      </c>
      <c r="AL128" s="645">
        <f>'Line Item Descriptions'!F129</f>
        <v>500</v>
      </c>
      <c r="AM128" s="1218">
        <v>500</v>
      </c>
      <c r="AN128" s="1001">
        <f>Number_of_Classrooms</f>
        <v>42939</v>
      </c>
      <c r="AO128" s="1307"/>
      <c r="AP128" s="1307"/>
      <c r="AQ128" s="1311"/>
      <c r="AR128" s="863">
        <f>SUM(AL128*AN128)/AU128</f>
        <v>3578250</v>
      </c>
      <c r="AS128" s="1136">
        <v>3152416.6666666665</v>
      </c>
      <c r="AT128" s="1002"/>
      <c r="AU128" s="1014">
        <v>6</v>
      </c>
      <c r="AV128" s="1307"/>
      <c r="AW128" s="1307"/>
      <c r="AX128" s="1307"/>
      <c r="AY128" s="1313"/>
      <c r="AZ128" s="1313"/>
      <c r="BA128" s="1313"/>
      <c r="BB128" s="1313"/>
      <c r="BC128" s="1313"/>
      <c r="BD128" s="1313"/>
      <c r="BE128" s="1313"/>
      <c r="BF128" s="1313"/>
      <c r="BG128" s="1313"/>
      <c r="BH128" s="1313"/>
      <c r="BI128" s="1313"/>
      <c r="BJ128" s="1313"/>
      <c r="BK128" s="1313"/>
      <c r="BL128" s="1313"/>
      <c r="BM128" s="1313"/>
      <c r="BN128" s="1313"/>
      <c r="BO128" s="1313"/>
      <c r="BP128" s="1313"/>
      <c r="BQ128" s="1313"/>
      <c r="BR128" s="1313"/>
      <c r="BS128" s="1313"/>
      <c r="BT128" s="1313"/>
      <c r="BU128" s="1313"/>
      <c r="BV128" s="1313"/>
      <c r="BW128" s="1313"/>
      <c r="BX128" s="1313"/>
      <c r="BY128" s="1313"/>
      <c r="BZ128" s="1313"/>
      <c r="CA128" s="1313"/>
      <c r="CB128" s="1313"/>
      <c r="CC128" s="1313"/>
      <c r="CD128" s="1313"/>
      <c r="CE128" s="1313"/>
      <c r="CF128" s="1313"/>
      <c r="CG128" s="1313"/>
      <c r="CH128" s="1313"/>
      <c r="CI128" s="1313"/>
      <c r="CJ128" s="1313"/>
      <c r="CK128" s="1313"/>
      <c r="CL128" s="1313"/>
      <c r="CM128" s="1313"/>
      <c r="CN128" s="1313"/>
      <c r="CO128" s="1313"/>
      <c r="CP128" s="1313"/>
      <c r="CQ128" s="1313"/>
      <c r="CR128" s="1313"/>
      <c r="CS128" s="1313"/>
      <c r="CT128" s="1313"/>
      <c r="CU128" s="1313"/>
      <c r="CV128" s="1313"/>
      <c r="CW128" s="1313"/>
      <c r="CX128" s="1313"/>
      <c r="CY128" s="1313"/>
      <c r="CZ128" s="1313"/>
      <c r="DA128" s="1313"/>
      <c r="DB128" s="1313"/>
      <c r="DC128" s="1313"/>
      <c r="DD128" s="1313"/>
      <c r="DE128" s="1313"/>
      <c r="DF128" s="1313"/>
      <c r="DG128" s="1313"/>
      <c r="DH128" s="1313"/>
      <c r="DI128" s="1313"/>
      <c r="DJ128" s="1313"/>
      <c r="DK128" s="1313"/>
      <c r="DL128" s="1313"/>
      <c r="DM128" s="1313"/>
      <c r="DN128" s="1313"/>
      <c r="DO128" s="1313"/>
      <c r="DP128" s="1313"/>
      <c r="DQ128" s="1313"/>
      <c r="DR128" s="1313"/>
      <c r="DS128" s="1313"/>
      <c r="DT128" s="1313"/>
      <c r="DU128" s="1313"/>
      <c r="DV128" s="1313"/>
      <c r="DW128" s="1313"/>
      <c r="DX128" s="1313"/>
      <c r="DY128" s="1313"/>
      <c r="DZ128" s="1313"/>
      <c r="EA128" s="1313"/>
      <c r="EB128" s="1313"/>
      <c r="EC128" s="1313"/>
      <c r="ED128" s="1313"/>
      <c r="EE128" s="1313"/>
      <c r="EF128" s="1313"/>
      <c r="EG128" s="1313"/>
      <c r="EH128" s="1313"/>
      <c r="EI128" s="1313"/>
      <c r="EJ128" s="1313"/>
      <c r="EK128" s="1313"/>
      <c r="EL128" s="1313"/>
      <c r="EM128" s="1313"/>
      <c r="EN128" s="1279"/>
      <c r="EO128" s="1279"/>
    </row>
    <row r="129" spans="1:145" ht="15">
      <c r="A129" s="1011"/>
      <c r="B129" s="1028"/>
      <c r="C129" s="645"/>
      <c r="D129" s="1218"/>
      <c r="F129" s="1219"/>
      <c r="G129" s="1051"/>
      <c r="H129" s="1141"/>
      <c r="I129" s="1003"/>
      <c r="J129" s="1138"/>
      <c r="K129" s="1002"/>
      <c r="L129" s="1136"/>
      <c r="M129" s="1002"/>
      <c r="N129" s="1014"/>
      <c r="O129" s="1015"/>
      <c r="P129" s="1006"/>
      <c r="Q129" s="1006"/>
      <c r="R129" s="1007"/>
      <c r="S129" s="1006">
        <f t="shared" si="71"/>
        <v>0</v>
      </c>
      <c r="T129" s="1006">
        <f t="shared" si="72"/>
        <v>0</v>
      </c>
      <c r="U129" s="1006">
        <f t="shared" si="73"/>
        <v>0</v>
      </c>
      <c r="V129" s="1006">
        <f t="shared" si="74"/>
        <v>0</v>
      </c>
      <c r="W129" s="1006">
        <f t="shared" si="75"/>
        <v>0</v>
      </c>
      <c r="X129" s="1016" t="s">
        <v>25</v>
      </c>
      <c r="Y129" s="1006">
        <f t="shared" si="76"/>
        <v>0</v>
      </c>
      <c r="Z129" s="1006">
        <f t="shared" si="77"/>
        <v>0</v>
      </c>
      <c r="AA129" s="1006">
        <f t="shared" si="78"/>
        <v>0</v>
      </c>
      <c r="AB129" s="1006">
        <f t="shared" si="79"/>
        <v>0</v>
      </c>
      <c r="AC129" s="1009">
        <f t="shared" si="80"/>
        <v>0</v>
      </c>
      <c r="AD129" s="1006">
        <f t="shared" si="81"/>
        <v>0</v>
      </c>
      <c r="AE129" s="1006">
        <f t="shared" si="82"/>
        <v>0</v>
      </c>
      <c r="AF129" s="1006">
        <f t="shared" si="83"/>
        <v>0</v>
      </c>
      <c r="AG129" s="1006">
        <f t="shared" si="84"/>
        <v>0</v>
      </c>
      <c r="AH129" s="1009">
        <f t="shared" si="85"/>
        <v>0</v>
      </c>
      <c r="AI129" s="972"/>
      <c r="AJ129" s="1011" t="s">
        <v>900</v>
      </c>
      <c r="AK129" s="1028">
        <v>107</v>
      </c>
      <c r="AL129" s="645">
        <v>500</v>
      </c>
      <c r="AM129" s="1218">
        <v>500</v>
      </c>
      <c r="AN129" s="1001">
        <f>Number_of_Schools</f>
        <v>1247</v>
      </c>
      <c r="AO129" s="1219">
        <v>1416</v>
      </c>
      <c r="AP129" s="972"/>
      <c r="AQ129" s="1219">
        <v>1416</v>
      </c>
      <c r="AR129" s="1002">
        <v>103916.66666666667</v>
      </c>
      <c r="AS129" s="1136">
        <v>118000</v>
      </c>
      <c r="AT129" s="1002"/>
      <c r="AU129" s="1014">
        <v>6</v>
      </c>
      <c r="AV129" s="1015">
        <v>72741.66666666667</v>
      </c>
      <c r="AW129" s="1006">
        <v>623500</v>
      </c>
      <c r="AX129" s="1006">
        <v>405275</v>
      </c>
      <c r="AY129" s="1056"/>
      <c r="AZ129" s="1056"/>
      <c r="BA129" s="1056"/>
      <c r="BB129" s="1056"/>
      <c r="BC129" s="1056"/>
      <c r="BD129" s="1056"/>
      <c r="BE129" s="1056"/>
      <c r="BF129" s="1056"/>
      <c r="BG129" s="1056"/>
      <c r="BH129" s="1056"/>
      <c r="BI129" s="1056"/>
      <c r="BJ129" s="1056"/>
      <c r="BK129" s="1056"/>
      <c r="BL129" s="1056"/>
      <c r="BM129" s="1056"/>
      <c r="BN129" s="1056"/>
      <c r="BO129" s="1056"/>
      <c r="BP129" s="1056"/>
      <c r="BQ129" s="1056"/>
      <c r="BR129" s="1056"/>
      <c r="BS129" s="1056"/>
      <c r="BT129" s="1056"/>
      <c r="BU129" s="1056"/>
      <c r="BV129" s="1056"/>
      <c r="BW129" s="1056"/>
      <c r="BX129" s="1056"/>
      <c r="BY129" s="1056"/>
      <c r="BZ129" s="1056"/>
      <c r="CA129" s="1056"/>
      <c r="CB129" s="1056"/>
      <c r="CC129" s="1056"/>
      <c r="CD129" s="1056"/>
      <c r="CE129" s="1056"/>
      <c r="CF129" s="1056"/>
      <c r="CG129" s="1056"/>
      <c r="CH129" s="1056"/>
      <c r="CI129" s="1056"/>
      <c r="CJ129" s="1056"/>
      <c r="CK129" s="1056"/>
      <c r="CL129" s="1056"/>
      <c r="CM129" s="1056"/>
      <c r="CN129" s="1056"/>
      <c r="CO129" s="1056"/>
      <c r="CP129" s="1056"/>
      <c r="CQ129" s="1056"/>
      <c r="CR129" s="1056"/>
      <c r="CS129" s="1056"/>
      <c r="CT129" s="1056"/>
      <c r="CU129" s="1056"/>
      <c r="CV129" s="1056"/>
      <c r="CW129" s="1056"/>
      <c r="CX129" s="1056"/>
      <c r="CY129" s="1056"/>
      <c r="CZ129" s="1056"/>
      <c r="DA129" s="1056"/>
      <c r="DB129" s="1056"/>
      <c r="DC129" s="1056"/>
      <c r="DD129" s="1056"/>
      <c r="DE129" s="1056"/>
      <c r="DF129" s="1056"/>
      <c r="DG129" s="1056"/>
      <c r="DH129" s="1056"/>
      <c r="DI129" s="1056"/>
      <c r="DJ129" s="1056"/>
      <c r="DK129" s="1056"/>
      <c r="DL129" s="1056"/>
      <c r="DM129" s="1056"/>
      <c r="DN129" s="1056"/>
      <c r="DO129" s="1056"/>
      <c r="DP129" s="1056"/>
      <c r="DQ129" s="1056"/>
      <c r="DR129" s="1056"/>
      <c r="DS129" s="1056"/>
      <c r="DT129" s="1056"/>
      <c r="DU129" s="1056"/>
      <c r="DV129" s="1056"/>
      <c r="DW129" s="1056"/>
      <c r="DX129" s="1056"/>
      <c r="DY129" s="1056"/>
      <c r="DZ129" s="1056"/>
      <c r="EA129" s="1056"/>
      <c r="EB129" s="1056"/>
      <c r="EC129" s="1056"/>
      <c r="ED129" s="1056"/>
      <c r="EE129" s="1056"/>
      <c r="EF129" s="1056"/>
      <c r="EG129" s="1056"/>
      <c r="EH129" s="1056"/>
      <c r="EI129" s="1056"/>
      <c r="EJ129" s="1056"/>
      <c r="EK129" s="1056"/>
      <c r="EL129" s="1056"/>
      <c r="EM129" s="1056"/>
      <c r="EN129" s="1279"/>
      <c r="EO129" s="1279"/>
    </row>
    <row r="130" spans="1:145" s="972" customFormat="1" ht="15">
      <c r="A130" s="1011" t="s">
        <v>903</v>
      </c>
      <c r="B130" s="1028">
        <v>8</v>
      </c>
      <c r="C130" s="645">
        <f>'Line Item Descriptions'!F131</f>
        <v>53</v>
      </c>
      <c r="D130" s="1218">
        <v>35</v>
      </c>
      <c r="E130" s="1001">
        <f>(Number_of_Districts*3)+(Number_of_Schools/5)</f>
        <v>771.4</v>
      </c>
      <c r="F130" s="1219">
        <v>949</v>
      </c>
      <c r="G130" s="1051"/>
      <c r="H130" s="1141"/>
      <c r="I130" s="1003">
        <f t="shared" si="69"/>
        <v>53</v>
      </c>
      <c r="J130" s="1138">
        <v>35</v>
      </c>
      <c r="K130" s="1002">
        <f>P130/BudgetYears</f>
        <v>40884.2</v>
      </c>
      <c r="L130" s="1136">
        <v>33215</v>
      </c>
      <c r="M130" s="1002"/>
      <c r="N130" s="1014">
        <v>1</v>
      </c>
      <c r="O130" s="1015">
        <v>0</v>
      </c>
      <c r="P130" s="1006">
        <f>(C130*E130)*(BudgetYears/N130)</f>
        <v>245305.19999999998</v>
      </c>
      <c r="Q130" s="1006">
        <f t="shared" si="70"/>
        <v>245305.19999999998</v>
      </c>
      <c r="R130" s="1007" t="s">
        <v>18</v>
      </c>
      <c r="S130" s="1006">
        <f t="shared" si="71"/>
        <v>245305.19999999998</v>
      </c>
      <c r="T130" s="1006">
        <f t="shared" si="72"/>
        <v>0</v>
      </c>
      <c r="U130" s="1006">
        <f t="shared" si="73"/>
        <v>0</v>
      </c>
      <c r="V130" s="1006">
        <f t="shared" si="74"/>
        <v>0</v>
      </c>
      <c r="W130" s="1006">
        <f t="shared" si="75"/>
        <v>245305.19999999998</v>
      </c>
      <c r="X130" s="1008" t="s">
        <v>25</v>
      </c>
      <c r="Y130" s="1006">
        <f t="shared" si="76"/>
        <v>40884.2</v>
      </c>
      <c r="Z130" s="1006">
        <f t="shared" si="77"/>
        <v>0</v>
      </c>
      <c r="AA130" s="1006">
        <f t="shared" si="78"/>
        <v>0</v>
      </c>
      <c r="AB130" s="1006">
        <f t="shared" si="79"/>
        <v>0</v>
      </c>
      <c r="AC130" s="1009">
        <f t="shared" si="80"/>
        <v>40884.2</v>
      </c>
      <c r="AD130" s="1006">
        <f t="shared" si="81"/>
        <v>0</v>
      </c>
      <c r="AE130" s="1006">
        <f t="shared" si="82"/>
        <v>0</v>
      </c>
      <c r="AF130" s="1006">
        <f t="shared" si="83"/>
        <v>0</v>
      </c>
      <c r="AG130" s="1006">
        <f t="shared" si="84"/>
        <v>0</v>
      </c>
      <c r="AH130" s="1009">
        <f t="shared" si="85"/>
        <v>0</v>
      </c>
      <c r="AI130" s="875"/>
      <c r="AJ130" s="1253"/>
      <c r="AK130" s="1253"/>
      <c r="AL130" s="1300"/>
      <c r="AM130" s="1301"/>
      <c r="AN130" s="1302"/>
      <c r="AO130" s="875"/>
      <c r="AP130" s="875"/>
      <c r="AQ130" s="1303"/>
      <c r="AR130" s="1300"/>
      <c r="AS130" s="1301"/>
      <c r="AT130" s="1300"/>
      <c r="AU130" s="1304"/>
      <c r="AV130" s="875"/>
      <c r="AW130" s="875"/>
      <c r="AX130" s="875"/>
      <c r="AY130" s="1279"/>
      <c r="AZ130" s="1279"/>
      <c r="BA130" s="1279"/>
      <c r="BB130" s="1279"/>
      <c r="BC130" s="1279"/>
      <c r="BD130" s="1279"/>
      <c r="BE130" s="1279"/>
      <c r="BF130" s="1279"/>
      <c r="BG130" s="1279"/>
      <c r="BH130" s="1279"/>
      <c r="BI130" s="1279"/>
      <c r="BJ130" s="1279"/>
      <c r="BK130" s="1279"/>
      <c r="BL130" s="1279"/>
      <c r="BM130" s="1279"/>
      <c r="BN130" s="1279"/>
      <c r="BO130" s="1279"/>
      <c r="BP130" s="1279"/>
      <c r="BQ130" s="1279"/>
      <c r="BR130" s="1279"/>
      <c r="BS130" s="1279"/>
      <c r="BT130" s="1279"/>
      <c r="BU130" s="1279"/>
      <c r="BV130" s="1279"/>
      <c r="BW130" s="1279"/>
      <c r="BX130" s="1279"/>
      <c r="BY130" s="1279"/>
      <c r="BZ130" s="1279"/>
      <c r="CA130" s="1279"/>
      <c r="CB130" s="1279"/>
      <c r="CC130" s="1279"/>
      <c r="CD130" s="1279"/>
      <c r="CE130" s="1279"/>
      <c r="CF130" s="1279"/>
      <c r="CG130" s="1279"/>
      <c r="CH130" s="1279"/>
      <c r="CI130" s="1279"/>
      <c r="CJ130" s="1279"/>
      <c r="CK130" s="1279"/>
      <c r="CL130" s="1279"/>
      <c r="CM130" s="1279"/>
      <c r="CN130" s="1279"/>
      <c r="CO130" s="1279"/>
      <c r="CP130" s="1279"/>
      <c r="CQ130" s="1279"/>
      <c r="CR130" s="1279"/>
      <c r="CS130" s="1279"/>
      <c r="CT130" s="1279"/>
      <c r="CU130" s="1279"/>
      <c r="CV130" s="1279"/>
      <c r="CW130" s="1279"/>
      <c r="CX130" s="1279"/>
      <c r="CY130" s="1279"/>
      <c r="CZ130" s="1279"/>
      <c r="DA130" s="1279"/>
      <c r="DB130" s="1279"/>
      <c r="DC130" s="1279"/>
      <c r="DD130" s="1279"/>
      <c r="DE130" s="1279"/>
      <c r="DF130" s="1279"/>
      <c r="DG130" s="1279"/>
      <c r="DH130" s="1279"/>
      <c r="DI130" s="1279"/>
      <c r="DJ130" s="1279"/>
      <c r="DK130" s="1279"/>
      <c r="DL130" s="1279"/>
      <c r="DM130" s="1279"/>
      <c r="DN130" s="1279"/>
      <c r="DO130" s="1279"/>
      <c r="DP130" s="1279"/>
      <c r="DQ130" s="1279"/>
      <c r="DR130" s="1279"/>
      <c r="DS130" s="1279"/>
      <c r="DT130" s="1279"/>
      <c r="DU130" s="1279"/>
      <c r="DV130" s="1279"/>
      <c r="DW130" s="1279"/>
      <c r="DX130" s="1279"/>
      <c r="DY130" s="1279"/>
      <c r="DZ130" s="1279"/>
      <c r="EA130" s="1279"/>
      <c r="EB130" s="1279"/>
      <c r="EC130" s="1279"/>
      <c r="ED130" s="1279"/>
      <c r="EE130" s="1279"/>
      <c r="EF130" s="1279"/>
      <c r="EG130" s="1279"/>
      <c r="EH130" s="1279"/>
      <c r="EI130" s="1279"/>
      <c r="EJ130" s="1279"/>
      <c r="EK130" s="1279"/>
      <c r="EL130" s="1279"/>
      <c r="EM130" s="1279"/>
      <c r="EN130" s="1056"/>
      <c r="EO130" s="1056"/>
    </row>
    <row r="131" spans="1:145" s="972" customFormat="1" ht="30.75">
      <c r="A131" s="1011" t="s">
        <v>902</v>
      </c>
      <c r="B131" s="1028">
        <v>107</v>
      </c>
      <c r="C131" s="645">
        <f>'Line Item Descriptions'!F132</f>
        <v>116</v>
      </c>
      <c r="D131" s="1218">
        <v>29</v>
      </c>
      <c r="E131" s="1001">
        <f>Number_of_Districts</f>
        <v>174</v>
      </c>
      <c r="F131" s="1219">
        <v>175</v>
      </c>
      <c r="G131" s="1051"/>
      <c r="H131" s="1141"/>
      <c r="I131" s="1003">
        <f t="shared" si="69"/>
        <v>116</v>
      </c>
      <c r="J131" s="1138">
        <v>29</v>
      </c>
      <c r="K131" s="1002">
        <f>SUM(C131*E131)/N131</f>
        <v>20184</v>
      </c>
      <c r="L131" s="1136">
        <v>5075</v>
      </c>
      <c r="M131" s="1002"/>
      <c r="N131" s="1014">
        <v>1</v>
      </c>
      <c r="O131" s="1015"/>
      <c r="P131" s="1006"/>
      <c r="Q131" s="1006"/>
      <c r="R131" s="1007" t="s">
        <v>18</v>
      </c>
      <c r="S131" s="1006"/>
      <c r="T131" s="1006"/>
      <c r="U131" s="1006"/>
      <c r="V131" s="1006"/>
      <c r="W131" s="1006"/>
      <c r="X131" s="1008"/>
      <c r="Y131" s="1006"/>
      <c r="Z131" s="1006"/>
      <c r="AA131" s="1006"/>
      <c r="AB131" s="1006"/>
      <c r="AC131" s="1009"/>
      <c r="AD131" s="1006"/>
      <c r="AE131" s="1006"/>
      <c r="AF131" s="1006"/>
      <c r="AG131" s="1006"/>
      <c r="AH131" s="1009"/>
      <c r="AI131" s="875"/>
      <c r="AJ131" s="1253"/>
      <c r="AK131" s="1253"/>
      <c r="AL131" s="1300"/>
      <c r="AM131" s="1301"/>
      <c r="AN131" s="1302"/>
      <c r="AO131" s="875"/>
      <c r="AP131" s="875"/>
      <c r="AQ131" s="1303"/>
      <c r="AR131" s="1300"/>
      <c r="AS131" s="1301"/>
      <c r="AT131" s="1300"/>
      <c r="AU131" s="1304"/>
      <c r="AV131" s="875"/>
      <c r="AW131" s="875"/>
      <c r="AX131" s="875"/>
      <c r="AY131" s="1279"/>
      <c r="AZ131" s="1279"/>
      <c r="BA131" s="1279"/>
      <c r="BB131" s="1279"/>
      <c r="BC131" s="1279"/>
      <c r="BD131" s="1279"/>
      <c r="BE131" s="1279"/>
      <c r="BF131" s="1279"/>
      <c r="BG131" s="1279"/>
      <c r="BH131" s="1279"/>
      <c r="BI131" s="1279"/>
      <c r="BJ131" s="1279"/>
      <c r="BK131" s="1279"/>
      <c r="BL131" s="1279"/>
      <c r="BM131" s="1279"/>
      <c r="BN131" s="1279"/>
      <c r="BO131" s="1279"/>
      <c r="BP131" s="1279"/>
      <c r="BQ131" s="1279"/>
      <c r="BR131" s="1279"/>
      <c r="BS131" s="1279"/>
      <c r="BT131" s="1279"/>
      <c r="BU131" s="1279"/>
      <c r="BV131" s="1279"/>
      <c r="BW131" s="1279"/>
      <c r="BX131" s="1279"/>
      <c r="BY131" s="1279"/>
      <c r="BZ131" s="1279"/>
      <c r="CA131" s="1279"/>
      <c r="CB131" s="1279"/>
      <c r="CC131" s="1279"/>
      <c r="CD131" s="1279"/>
      <c r="CE131" s="1279"/>
      <c r="CF131" s="1279"/>
      <c r="CG131" s="1279"/>
      <c r="CH131" s="1279"/>
      <c r="CI131" s="1279"/>
      <c r="CJ131" s="1279"/>
      <c r="CK131" s="1279"/>
      <c r="CL131" s="1279"/>
      <c r="CM131" s="1279"/>
      <c r="CN131" s="1279"/>
      <c r="CO131" s="1279"/>
      <c r="CP131" s="1279"/>
      <c r="CQ131" s="1279"/>
      <c r="CR131" s="1279"/>
      <c r="CS131" s="1279"/>
      <c r="CT131" s="1279"/>
      <c r="CU131" s="1279"/>
      <c r="CV131" s="1279"/>
      <c r="CW131" s="1279"/>
      <c r="CX131" s="1279"/>
      <c r="CY131" s="1279"/>
      <c r="CZ131" s="1279"/>
      <c r="DA131" s="1279"/>
      <c r="DB131" s="1279"/>
      <c r="DC131" s="1279"/>
      <c r="DD131" s="1279"/>
      <c r="DE131" s="1279"/>
      <c r="DF131" s="1279"/>
      <c r="DG131" s="1279"/>
      <c r="DH131" s="1279"/>
      <c r="DI131" s="1279"/>
      <c r="DJ131" s="1279"/>
      <c r="DK131" s="1279"/>
      <c r="DL131" s="1279"/>
      <c r="DM131" s="1279"/>
      <c r="DN131" s="1279"/>
      <c r="DO131" s="1279"/>
      <c r="DP131" s="1279"/>
      <c r="DQ131" s="1279"/>
      <c r="DR131" s="1279"/>
      <c r="DS131" s="1279"/>
      <c r="DT131" s="1279"/>
      <c r="DU131" s="1279"/>
      <c r="DV131" s="1279"/>
      <c r="DW131" s="1279"/>
      <c r="DX131" s="1279"/>
      <c r="DY131" s="1279"/>
      <c r="DZ131" s="1279"/>
      <c r="EA131" s="1279"/>
      <c r="EB131" s="1279"/>
      <c r="EC131" s="1279"/>
      <c r="ED131" s="1279"/>
      <c r="EE131" s="1279"/>
      <c r="EF131" s="1279"/>
      <c r="EG131" s="1279"/>
      <c r="EH131" s="1279"/>
      <c r="EI131" s="1279"/>
      <c r="EJ131" s="1279"/>
      <c r="EK131" s="1279"/>
      <c r="EL131" s="1279"/>
      <c r="EM131" s="1279"/>
      <c r="EN131" s="1056"/>
      <c r="EO131" s="1056"/>
    </row>
    <row r="132" spans="1:145" s="1081" customFormat="1" ht="15">
      <c r="A132" s="1011" t="s">
        <v>1900</v>
      </c>
      <c r="B132" s="1028"/>
      <c r="C132" s="645"/>
      <c r="D132" s="1218"/>
      <c r="E132" s="1001">
        <f>Number_of_Districts</f>
        <v>174</v>
      </c>
      <c r="F132" s="1219"/>
      <c r="G132" s="1051"/>
      <c r="H132" s="1141"/>
      <c r="I132" s="1003"/>
      <c r="J132" s="1138"/>
      <c r="K132" s="1002">
        <v>2035760</v>
      </c>
      <c r="L132" s="1136"/>
      <c r="M132" s="1002"/>
      <c r="N132" s="1014"/>
      <c r="O132" s="1015"/>
      <c r="P132" s="1006"/>
      <c r="Q132" s="1006"/>
      <c r="R132" s="1007" t="s">
        <v>18</v>
      </c>
      <c r="S132" s="1006"/>
      <c r="T132" s="1006"/>
      <c r="U132" s="1006"/>
      <c r="V132" s="1006"/>
      <c r="W132" s="1006"/>
      <c r="X132" s="1008"/>
      <c r="Y132" s="1006"/>
      <c r="Z132" s="1006"/>
      <c r="AA132" s="1006"/>
      <c r="AB132" s="1006"/>
      <c r="AC132" s="1009"/>
      <c r="AD132" s="1006"/>
      <c r="AE132" s="1006"/>
      <c r="AF132" s="1006"/>
      <c r="AG132" s="1006"/>
      <c r="AH132" s="1009"/>
      <c r="AI132" s="1010"/>
      <c r="AJ132" s="1011"/>
      <c r="AK132" s="1011"/>
      <c r="AL132" s="863"/>
      <c r="AM132" s="1177"/>
      <c r="AN132" s="1012"/>
      <c r="AO132" s="1010"/>
      <c r="AP132" s="1010"/>
      <c r="AQ132" s="1209"/>
      <c r="AR132" s="863"/>
      <c r="AS132" s="1177"/>
      <c r="AT132" s="863"/>
      <c r="AU132" s="1007"/>
      <c r="AV132" s="1010"/>
      <c r="AW132" s="1010"/>
      <c r="AX132" s="1010"/>
      <c r="AY132" s="994"/>
      <c r="AZ132" s="994"/>
      <c r="BA132" s="994"/>
      <c r="BB132" s="994"/>
      <c r="BC132" s="994"/>
      <c r="BD132" s="994"/>
      <c r="BE132" s="994"/>
      <c r="BF132" s="994"/>
      <c r="BG132" s="994"/>
      <c r="BH132" s="994"/>
      <c r="BI132" s="994"/>
      <c r="BJ132" s="994"/>
      <c r="BK132" s="994"/>
      <c r="BL132" s="994"/>
      <c r="BM132" s="994"/>
      <c r="BN132" s="994"/>
      <c r="BO132" s="994"/>
      <c r="BP132" s="994"/>
      <c r="BQ132" s="994"/>
      <c r="BR132" s="994"/>
      <c r="BS132" s="994"/>
      <c r="BT132" s="994"/>
      <c r="BU132" s="994"/>
      <c r="BV132" s="994"/>
      <c r="BW132" s="994"/>
      <c r="BX132" s="994"/>
      <c r="BY132" s="994"/>
      <c r="BZ132" s="994"/>
      <c r="CA132" s="994"/>
      <c r="CB132" s="994"/>
      <c r="CC132" s="994"/>
      <c r="CD132" s="994"/>
      <c r="CE132" s="994"/>
      <c r="CF132" s="994"/>
      <c r="CG132" s="994"/>
      <c r="CH132" s="994"/>
      <c r="CI132" s="994"/>
      <c r="CJ132" s="994"/>
      <c r="CK132" s="994"/>
      <c r="CL132" s="994"/>
      <c r="CM132" s="994"/>
      <c r="CN132" s="994"/>
      <c r="CO132" s="994"/>
      <c r="CP132" s="994"/>
      <c r="CQ132" s="994"/>
      <c r="CR132" s="994"/>
      <c r="CS132" s="994"/>
      <c r="CT132" s="994"/>
      <c r="CU132" s="994"/>
      <c r="CV132" s="994"/>
      <c r="CW132" s="994"/>
      <c r="CX132" s="994"/>
      <c r="CY132" s="994"/>
      <c r="CZ132" s="994"/>
      <c r="DA132" s="994"/>
      <c r="DB132" s="994"/>
      <c r="DC132" s="994"/>
      <c r="DD132" s="994"/>
      <c r="DE132" s="994"/>
      <c r="DF132" s="994"/>
      <c r="DG132" s="994"/>
      <c r="DH132" s="994"/>
      <c r="DI132" s="994"/>
      <c r="DJ132" s="994"/>
      <c r="DK132" s="994"/>
      <c r="DL132" s="994"/>
      <c r="DM132" s="994"/>
      <c r="DN132" s="994"/>
      <c r="DO132" s="994"/>
      <c r="DP132" s="994"/>
      <c r="DQ132" s="994"/>
      <c r="DR132" s="994"/>
      <c r="DS132" s="994"/>
      <c r="DT132" s="994"/>
      <c r="DU132" s="994"/>
      <c r="DV132" s="994"/>
      <c r="DW132" s="994"/>
      <c r="DX132" s="994"/>
      <c r="DY132" s="994"/>
      <c r="DZ132" s="994"/>
      <c r="EA132" s="994"/>
      <c r="EB132" s="994"/>
      <c r="EC132" s="994"/>
      <c r="ED132" s="994"/>
      <c r="EE132" s="994"/>
      <c r="EF132" s="994"/>
      <c r="EG132" s="994"/>
      <c r="EH132" s="994"/>
      <c r="EI132" s="994"/>
      <c r="EJ132" s="994"/>
      <c r="EK132" s="994"/>
      <c r="EL132" s="994"/>
      <c r="EM132" s="994"/>
      <c r="EN132" s="1080"/>
      <c r="EO132" s="1080"/>
    </row>
    <row r="133" spans="1:145" s="972" customFormat="1" ht="15">
      <c r="A133" s="1034" t="s">
        <v>101</v>
      </c>
      <c r="B133" s="1034"/>
      <c r="C133" s="645"/>
      <c r="D133" s="1218"/>
      <c r="E133" s="1076"/>
      <c r="F133" s="1169"/>
      <c r="G133" s="1002"/>
      <c r="H133" s="1136"/>
      <c r="I133" s="1023">
        <f>SUM(I123:I131)</f>
        <v>23806.173390804608</v>
      </c>
      <c r="J133" s="1137">
        <v>2025.4999999999998</v>
      </c>
      <c r="K133" s="1023">
        <f>SUM(K123:K132)</f>
        <v>16761522.483000001</v>
      </c>
      <c r="L133" s="1137">
        <v>9179521</v>
      </c>
      <c r="M133" s="1023">
        <f>SUM(M123:M131)</f>
        <v>618216.0199999999</v>
      </c>
      <c r="N133" s="1004"/>
      <c r="O133" s="1023">
        <f aca="true" t="shared" si="86" ref="O133:AH133">SUM(O123:O130)</f>
        <v>59465.46666666667</v>
      </c>
      <c r="P133" s="1023">
        <f t="shared" si="86"/>
        <v>63631777.878000006</v>
      </c>
      <c r="Q133" s="1023">
        <f t="shared" si="86"/>
        <v>63453381.47800001</v>
      </c>
      <c r="R133" s="1007"/>
      <c r="S133" s="1023">
        <f t="shared" si="86"/>
        <v>63631777.878000006</v>
      </c>
      <c r="T133" s="1023">
        <f t="shared" si="86"/>
        <v>0</v>
      </c>
      <c r="U133" s="1023">
        <f t="shared" si="86"/>
        <v>0</v>
      </c>
      <c r="V133" s="1023">
        <f t="shared" si="86"/>
        <v>0</v>
      </c>
      <c r="W133" s="1023">
        <f t="shared" si="86"/>
        <v>63631777.878000006</v>
      </c>
      <c r="X133" s="1023">
        <f t="shared" si="86"/>
        <v>0</v>
      </c>
      <c r="Y133" s="1023">
        <f t="shared" si="86"/>
        <v>14705578.483000001</v>
      </c>
      <c r="Z133" s="1023">
        <f t="shared" si="86"/>
        <v>0</v>
      </c>
      <c r="AA133" s="1023">
        <f t="shared" si="86"/>
        <v>0</v>
      </c>
      <c r="AB133" s="1023">
        <f t="shared" si="86"/>
        <v>0</v>
      </c>
      <c r="AC133" s="1023">
        <f t="shared" si="86"/>
        <v>14705578.483000001</v>
      </c>
      <c r="AD133" s="1023">
        <f t="shared" si="86"/>
        <v>59465.46666666667</v>
      </c>
      <c r="AE133" s="1023">
        <f t="shared" si="86"/>
        <v>0</v>
      </c>
      <c r="AF133" s="1023">
        <f t="shared" si="86"/>
        <v>0</v>
      </c>
      <c r="AG133" s="1023">
        <f t="shared" si="86"/>
        <v>0</v>
      </c>
      <c r="AH133" s="1023">
        <f t="shared" si="86"/>
        <v>59465.46666666667</v>
      </c>
      <c r="AI133" s="875"/>
      <c r="AJ133" s="1052" t="s">
        <v>1266</v>
      </c>
      <c r="AK133" s="1253"/>
      <c r="AL133" s="1300">
        <f>(AT133)/Number_of_Districts</f>
        <v>1731.3166954022988</v>
      </c>
      <c r="AM133" s="1301"/>
      <c r="AN133" s="1302">
        <f>Number_of_Districts</f>
        <v>174</v>
      </c>
      <c r="AO133" s="875"/>
      <c r="AP133" s="875"/>
      <c r="AQ133" s="1303"/>
      <c r="AR133" s="863">
        <f>SUM(AL133/AU133)*AN133</f>
        <v>301249.105</v>
      </c>
      <c r="AS133" s="1301"/>
      <c r="AT133" s="1300">
        <f>'TAR Numbers'!DH10+'TAR Numbers'!DI10</f>
        <v>301249.105</v>
      </c>
      <c r="AU133" s="1304">
        <v>1</v>
      </c>
      <c r="AV133" s="875"/>
      <c r="AW133" s="875"/>
      <c r="AX133" s="875"/>
      <c r="AY133" s="1279"/>
      <c r="AZ133" s="1279"/>
      <c r="BA133" s="1279"/>
      <c r="BB133" s="1279"/>
      <c r="BC133" s="1279"/>
      <c r="BD133" s="1279"/>
      <c r="BE133" s="1279"/>
      <c r="BF133" s="1279"/>
      <c r="BG133" s="1279"/>
      <c r="BH133" s="1279"/>
      <c r="BI133" s="1279"/>
      <c r="BJ133" s="1279"/>
      <c r="BK133" s="1279"/>
      <c r="BL133" s="1279"/>
      <c r="BM133" s="1279"/>
      <c r="BN133" s="1279"/>
      <c r="BO133" s="1279"/>
      <c r="BP133" s="1279"/>
      <c r="BQ133" s="1279"/>
      <c r="BR133" s="1279"/>
      <c r="BS133" s="1279"/>
      <c r="BT133" s="1279"/>
      <c r="BU133" s="1279"/>
      <c r="BV133" s="1279"/>
      <c r="BW133" s="1279"/>
      <c r="BX133" s="1279"/>
      <c r="BY133" s="1279"/>
      <c r="BZ133" s="1279"/>
      <c r="CA133" s="1279"/>
      <c r="CB133" s="1279"/>
      <c r="CC133" s="1279"/>
      <c r="CD133" s="1279"/>
      <c r="CE133" s="1279"/>
      <c r="CF133" s="1279"/>
      <c r="CG133" s="1279"/>
      <c r="CH133" s="1279"/>
      <c r="CI133" s="1279"/>
      <c r="CJ133" s="1279"/>
      <c r="CK133" s="1279"/>
      <c r="CL133" s="1279"/>
      <c r="CM133" s="1279"/>
      <c r="CN133" s="1279"/>
      <c r="CO133" s="1279"/>
      <c r="CP133" s="1279"/>
      <c r="CQ133" s="1279"/>
      <c r="CR133" s="1279"/>
      <c r="CS133" s="1279"/>
      <c r="CT133" s="1279"/>
      <c r="CU133" s="1279"/>
      <c r="CV133" s="1279"/>
      <c r="CW133" s="1279"/>
      <c r="CX133" s="1279"/>
      <c r="CY133" s="1279"/>
      <c r="CZ133" s="1279"/>
      <c r="DA133" s="1279"/>
      <c r="DB133" s="1279"/>
      <c r="DC133" s="1279"/>
      <c r="DD133" s="1279"/>
      <c r="DE133" s="1279"/>
      <c r="DF133" s="1279"/>
      <c r="DG133" s="1279"/>
      <c r="DH133" s="1279"/>
      <c r="DI133" s="1279"/>
      <c r="DJ133" s="1279"/>
      <c r="DK133" s="1279"/>
      <c r="DL133" s="1279"/>
      <c r="DM133" s="1279"/>
      <c r="DN133" s="1279"/>
      <c r="DO133" s="1279"/>
      <c r="DP133" s="1279"/>
      <c r="DQ133" s="1279"/>
      <c r="DR133" s="1279"/>
      <c r="DS133" s="1279"/>
      <c r="DT133" s="1279"/>
      <c r="DU133" s="1279"/>
      <c r="DV133" s="1279"/>
      <c r="DW133" s="1279"/>
      <c r="DX133" s="1279"/>
      <c r="DY133" s="1279"/>
      <c r="DZ133" s="1279"/>
      <c r="EA133" s="1279"/>
      <c r="EB133" s="1279"/>
      <c r="EC133" s="1279"/>
      <c r="ED133" s="1279"/>
      <c r="EE133" s="1279"/>
      <c r="EF133" s="1279"/>
      <c r="EG133" s="1279"/>
      <c r="EH133" s="1279"/>
      <c r="EI133" s="1279"/>
      <c r="EJ133" s="1279"/>
      <c r="EK133" s="1279"/>
      <c r="EL133" s="1279"/>
      <c r="EM133" s="1279"/>
      <c r="EN133" s="1056"/>
      <c r="EO133" s="1056"/>
    </row>
    <row r="134" spans="1:145" ht="15">
      <c r="A134" s="1034"/>
      <c r="B134" s="1034"/>
      <c r="C134" s="645"/>
      <c r="D134" s="1218"/>
      <c r="E134" s="1076"/>
      <c r="F134" s="1169"/>
      <c r="G134" s="1002"/>
      <c r="H134" s="1136"/>
      <c r="I134" s="1003"/>
      <c r="J134" s="1138"/>
      <c r="K134" s="1023"/>
      <c r="L134" s="1137"/>
      <c r="M134" s="1023"/>
      <c r="N134" s="1004"/>
      <c r="O134" s="1023"/>
      <c r="P134" s="1023"/>
      <c r="Q134" s="1023"/>
      <c r="R134" s="1007"/>
      <c r="S134" s="1023"/>
      <c r="T134" s="1023"/>
      <c r="U134" s="1023"/>
      <c r="V134" s="1023"/>
      <c r="W134" s="1023"/>
      <c r="X134" s="1023"/>
      <c r="Y134" s="1023"/>
      <c r="Z134" s="1023"/>
      <c r="AA134" s="1023"/>
      <c r="AB134" s="1023"/>
      <c r="AC134" s="1023"/>
      <c r="AD134" s="1023"/>
      <c r="AE134" s="1023"/>
      <c r="AF134" s="1023"/>
      <c r="AG134" s="1023"/>
      <c r="AH134" s="1023"/>
      <c r="AM134" s="1301"/>
      <c r="AQ134" s="1303"/>
      <c r="AS134" s="1301"/>
      <c r="AY134" s="1279"/>
      <c r="AZ134" s="1279"/>
      <c r="BA134" s="1279"/>
      <c r="BB134" s="1279"/>
      <c r="BC134" s="1279"/>
      <c r="BD134" s="1279"/>
      <c r="BE134" s="1279"/>
      <c r="BF134" s="1279"/>
      <c r="BG134" s="1279"/>
      <c r="BH134" s="1279"/>
      <c r="BI134" s="1279"/>
      <c r="BJ134" s="1279"/>
      <c r="BK134" s="1279"/>
      <c r="BL134" s="1279"/>
      <c r="BM134" s="1279"/>
      <c r="BN134" s="1279"/>
      <c r="BO134" s="1279"/>
      <c r="BP134" s="1279"/>
      <c r="BQ134" s="1279"/>
      <c r="BR134" s="1279"/>
      <c r="BS134" s="1279"/>
      <c r="BT134" s="1279"/>
      <c r="BU134" s="1279"/>
      <c r="BV134" s="1279"/>
      <c r="BW134" s="1279"/>
      <c r="BX134" s="1279"/>
      <c r="BY134" s="1279"/>
      <c r="BZ134" s="1279"/>
      <c r="CA134" s="1279"/>
      <c r="CB134" s="1279"/>
      <c r="CC134" s="1279"/>
      <c r="CD134" s="1279"/>
      <c r="CE134" s="1279"/>
      <c r="CF134" s="1279"/>
      <c r="CG134" s="1279"/>
      <c r="CH134" s="1279"/>
      <c r="CI134" s="1279"/>
      <c r="CJ134" s="1279"/>
      <c r="CK134" s="1279"/>
      <c r="CL134" s="1279"/>
      <c r="CM134" s="1279"/>
      <c r="CN134" s="1279"/>
      <c r="CO134" s="1279"/>
      <c r="CP134" s="1279"/>
      <c r="CQ134" s="1279"/>
      <c r="CR134" s="1279"/>
      <c r="CS134" s="1279"/>
      <c r="CT134" s="1279"/>
      <c r="CU134" s="1279"/>
      <c r="CV134" s="1279"/>
      <c r="CW134" s="1279"/>
      <c r="CX134" s="1279"/>
      <c r="CY134" s="1279"/>
      <c r="CZ134" s="1279"/>
      <c r="DA134" s="1279"/>
      <c r="DB134" s="1279"/>
      <c r="DC134" s="1279"/>
      <c r="DD134" s="1279"/>
      <c r="DE134" s="1279"/>
      <c r="DF134" s="1279"/>
      <c r="DG134" s="1279"/>
      <c r="DH134" s="1279"/>
      <c r="DI134" s="1279"/>
      <c r="DJ134" s="1279"/>
      <c r="DK134" s="1279"/>
      <c r="DL134" s="1279"/>
      <c r="DM134" s="1279"/>
      <c r="DN134" s="1279"/>
      <c r="DO134" s="1279"/>
      <c r="DP134" s="1279"/>
      <c r="DQ134" s="1279"/>
      <c r="DR134" s="1279"/>
      <c r="DS134" s="1279"/>
      <c r="DT134" s="1279"/>
      <c r="DU134" s="1279"/>
      <c r="DV134" s="1279"/>
      <c r="DW134" s="1279"/>
      <c r="DX134" s="1279"/>
      <c r="DY134" s="1279"/>
      <c r="DZ134" s="1279"/>
      <c r="EA134" s="1279"/>
      <c r="EB134" s="1279"/>
      <c r="EC134" s="1279"/>
      <c r="ED134" s="1279"/>
      <c r="EE134" s="1279"/>
      <c r="EF134" s="1279"/>
      <c r="EG134" s="1279"/>
      <c r="EH134" s="1279"/>
      <c r="EI134" s="1279"/>
      <c r="EJ134" s="1279"/>
      <c r="EK134" s="1279"/>
      <c r="EL134" s="1279"/>
      <c r="EM134" s="1279"/>
      <c r="EN134" s="1279"/>
      <c r="EO134" s="1279"/>
    </row>
    <row r="135" spans="1:145" ht="18">
      <c r="A135" s="1330" t="s">
        <v>102</v>
      </c>
      <c r="B135" s="1330"/>
      <c r="C135" s="645"/>
      <c r="D135" s="1218"/>
      <c r="E135" s="1076"/>
      <c r="F135" s="1169"/>
      <c r="G135" s="1002"/>
      <c r="H135" s="1136"/>
      <c r="I135" s="1003"/>
      <c r="J135" s="1138"/>
      <c r="K135" s="1023">
        <f>K111+K133</f>
        <v>39875637.483</v>
      </c>
      <c r="L135" s="1137">
        <v>77160059.39666666</v>
      </c>
      <c r="M135" s="1023">
        <f>M111+M120+M133</f>
        <v>16903764.96</v>
      </c>
      <c r="N135" s="1004"/>
      <c r="O135" s="1023">
        <f>O111+O120+O133</f>
        <v>2210606.9977716664</v>
      </c>
      <c r="P135" s="1023">
        <f>P111+P120+P133</f>
        <v>140029317.8589</v>
      </c>
      <c r="Q135" s="1023">
        <f>Q111+Q120+Q133</f>
        <v>133397496.865585</v>
      </c>
      <c r="R135" s="1007"/>
      <c r="S135" s="1023">
        <f aca="true" t="shared" si="87" ref="S135:AH135">S111+S120+S133</f>
        <v>127662885.85890001</v>
      </c>
      <c r="T135" s="1023">
        <f t="shared" si="87"/>
        <v>12366431.999999998</v>
      </c>
      <c r="U135" s="1023">
        <f t="shared" si="87"/>
        <v>0</v>
      </c>
      <c r="V135" s="1023">
        <f t="shared" si="87"/>
        <v>0</v>
      </c>
      <c r="W135" s="1023">
        <f t="shared" si="87"/>
        <v>140029317.8589</v>
      </c>
      <c r="X135" s="1023">
        <f t="shared" si="87"/>
        <v>214723.44013372596</v>
      </c>
      <c r="Y135" s="1023">
        <f t="shared" si="87"/>
        <v>25377429.813150004</v>
      </c>
      <c r="Z135" s="1023">
        <f t="shared" si="87"/>
        <v>2061071.9999999998</v>
      </c>
      <c r="AA135" s="1023">
        <f t="shared" si="87"/>
        <v>0</v>
      </c>
      <c r="AB135" s="1023">
        <f t="shared" si="87"/>
        <v>0</v>
      </c>
      <c r="AC135" s="1023">
        <f t="shared" si="87"/>
        <v>27438501.813150004</v>
      </c>
      <c r="AD135" s="1023">
        <f t="shared" si="87"/>
        <v>767856.5977716667</v>
      </c>
      <c r="AE135" s="1023">
        <f t="shared" si="87"/>
        <v>1442750.3999999997</v>
      </c>
      <c r="AF135" s="1023">
        <f t="shared" si="87"/>
        <v>0</v>
      </c>
      <c r="AG135" s="1023">
        <f t="shared" si="87"/>
        <v>0</v>
      </c>
      <c r="AH135" s="1023">
        <f t="shared" si="87"/>
        <v>2210606.9977716664</v>
      </c>
      <c r="AM135" s="1301"/>
      <c r="AQ135" s="1303"/>
      <c r="AS135" s="1301"/>
      <c r="AY135" s="1279"/>
      <c r="AZ135" s="1279"/>
      <c r="BA135" s="1279"/>
      <c r="BB135" s="1279"/>
      <c r="BC135" s="1279"/>
      <c r="BD135" s="1279"/>
      <c r="BE135" s="1279"/>
      <c r="BF135" s="1279"/>
      <c r="BG135" s="1279"/>
      <c r="BH135" s="1279"/>
      <c r="BI135" s="1279"/>
      <c r="BJ135" s="1279"/>
      <c r="BK135" s="1279"/>
      <c r="BL135" s="1279"/>
      <c r="BM135" s="1279"/>
      <c r="BN135" s="1279"/>
      <c r="BO135" s="1279"/>
      <c r="BP135" s="1279"/>
      <c r="BQ135" s="1279"/>
      <c r="BR135" s="1279"/>
      <c r="BS135" s="1279"/>
      <c r="BT135" s="1279"/>
      <c r="BU135" s="1279"/>
      <c r="BV135" s="1279"/>
      <c r="BW135" s="1279"/>
      <c r="BX135" s="1279"/>
      <c r="BY135" s="1279"/>
      <c r="BZ135" s="1279"/>
      <c r="CA135" s="1279"/>
      <c r="CB135" s="1279"/>
      <c r="CC135" s="1279"/>
      <c r="CD135" s="1279"/>
      <c r="CE135" s="1279"/>
      <c r="CF135" s="1279"/>
      <c r="CG135" s="1279"/>
      <c r="CH135" s="1279"/>
      <c r="CI135" s="1279"/>
      <c r="CJ135" s="1279"/>
      <c r="CK135" s="1279"/>
      <c r="CL135" s="1279"/>
      <c r="CM135" s="1279"/>
      <c r="CN135" s="1279"/>
      <c r="CO135" s="1279"/>
      <c r="CP135" s="1279"/>
      <c r="CQ135" s="1279"/>
      <c r="CR135" s="1279"/>
      <c r="CS135" s="1279"/>
      <c r="CT135" s="1279"/>
      <c r="CU135" s="1279"/>
      <c r="CV135" s="1279"/>
      <c r="CW135" s="1279"/>
      <c r="CX135" s="1279"/>
      <c r="CY135" s="1279"/>
      <c r="CZ135" s="1279"/>
      <c r="DA135" s="1279"/>
      <c r="DB135" s="1279"/>
      <c r="DC135" s="1279"/>
      <c r="DD135" s="1279"/>
      <c r="DE135" s="1279"/>
      <c r="DF135" s="1279"/>
      <c r="DG135" s="1279"/>
      <c r="DH135" s="1279"/>
      <c r="DI135" s="1279"/>
      <c r="DJ135" s="1279"/>
      <c r="DK135" s="1279"/>
      <c r="DL135" s="1279"/>
      <c r="DM135" s="1279"/>
      <c r="DN135" s="1279"/>
      <c r="DO135" s="1279"/>
      <c r="DP135" s="1279"/>
      <c r="DQ135" s="1279"/>
      <c r="DR135" s="1279"/>
      <c r="DS135" s="1279"/>
      <c r="DT135" s="1279"/>
      <c r="DU135" s="1279"/>
      <c r="DV135" s="1279"/>
      <c r="DW135" s="1279"/>
      <c r="DX135" s="1279"/>
      <c r="DY135" s="1279"/>
      <c r="DZ135" s="1279"/>
      <c r="EA135" s="1279"/>
      <c r="EB135" s="1279"/>
      <c r="EC135" s="1279"/>
      <c r="ED135" s="1279"/>
      <c r="EE135" s="1279"/>
      <c r="EF135" s="1279"/>
      <c r="EG135" s="1279"/>
      <c r="EH135" s="1279"/>
      <c r="EI135" s="1279"/>
      <c r="EJ135" s="1279"/>
      <c r="EK135" s="1279"/>
      <c r="EL135" s="1279"/>
      <c r="EM135" s="1279"/>
      <c r="EN135" s="1279"/>
      <c r="EO135" s="1279"/>
    </row>
    <row r="136" spans="1:145" ht="15">
      <c r="A136" s="1034"/>
      <c r="B136" s="1034"/>
      <c r="C136" s="645"/>
      <c r="D136" s="1218"/>
      <c r="E136" s="1076"/>
      <c r="F136" s="1169"/>
      <c r="G136" s="1002"/>
      <c r="H136" s="1136"/>
      <c r="I136" s="1003"/>
      <c r="J136" s="1138"/>
      <c r="K136" s="1023"/>
      <c r="L136" s="1137"/>
      <c r="M136" s="1023"/>
      <c r="N136" s="1004"/>
      <c r="O136" s="1023"/>
      <c r="P136" s="1023"/>
      <c r="Q136" s="1023"/>
      <c r="R136" s="1007"/>
      <c r="S136" s="1023"/>
      <c r="T136" s="1023"/>
      <c r="U136" s="1023"/>
      <c r="V136" s="1023"/>
      <c r="W136" s="1023"/>
      <c r="X136" s="1023"/>
      <c r="Y136" s="1023"/>
      <c r="Z136" s="1023"/>
      <c r="AA136" s="1023"/>
      <c r="AB136" s="1023"/>
      <c r="AC136" s="1023"/>
      <c r="AD136" s="1023"/>
      <c r="AE136" s="1023"/>
      <c r="AF136" s="1023"/>
      <c r="AG136" s="1023"/>
      <c r="AH136" s="1023"/>
      <c r="AM136" s="1301"/>
      <c r="AQ136" s="1303"/>
      <c r="AS136" s="1301"/>
      <c r="AY136" s="1279"/>
      <c r="AZ136" s="1279"/>
      <c r="BA136" s="1279"/>
      <c r="BB136" s="1279"/>
      <c r="BC136" s="1279"/>
      <c r="BD136" s="1279"/>
      <c r="BE136" s="1279"/>
      <c r="BF136" s="1279"/>
      <c r="BG136" s="1279"/>
      <c r="BH136" s="1279"/>
      <c r="BI136" s="1279"/>
      <c r="BJ136" s="1279"/>
      <c r="BK136" s="1279"/>
      <c r="BL136" s="1279"/>
      <c r="BM136" s="1279"/>
      <c r="BN136" s="1279"/>
      <c r="BO136" s="1279"/>
      <c r="BP136" s="1279"/>
      <c r="BQ136" s="1279"/>
      <c r="BR136" s="1279"/>
      <c r="BS136" s="1279"/>
      <c r="BT136" s="1279"/>
      <c r="BU136" s="1279"/>
      <c r="BV136" s="1279"/>
      <c r="BW136" s="1279"/>
      <c r="BX136" s="1279"/>
      <c r="BY136" s="1279"/>
      <c r="BZ136" s="1279"/>
      <c r="CA136" s="1279"/>
      <c r="CB136" s="1279"/>
      <c r="CC136" s="1279"/>
      <c r="CD136" s="1279"/>
      <c r="CE136" s="1279"/>
      <c r="CF136" s="1279"/>
      <c r="CG136" s="1279"/>
      <c r="CH136" s="1279"/>
      <c r="CI136" s="1279"/>
      <c r="CJ136" s="1279"/>
      <c r="CK136" s="1279"/>
      <c r="CL136" s="1279"/>
      <c r="CM136" s="1279"/>
      <c r="CN136" s="1279"/>
      <c r="CO136" s="1279"/>
      <c r="CP136" s="1279"/>
      <c r="CQ136" s="1279"/>
      <c r="CR136" s="1279"/>
      <c r="CS136" s="1279"/>
      <c r="CT136" s="1279"/>
      <c r="CU136" s="1279"/>
      <c r="CV136" s="1279"/>
      <c r="CW136" s="1279"/>
      <c r="CX136" s="1279"/>
      <c r="CY136" s="1279"/>
      <c r="CZ136" s="1279"/>
      <c r="DA136" s="1279"/>
      <c r="DB136" s="1279"/>
      <c r="DC136" s="1279"/>
      <c r="DD136" s="1279"/>
      <c r="DE136" s="1279"/>
      <c r="DF136" s="1279"/>
      <c r="DG136" s="1279"/>
      <c r="DH136" s="1279"/>
      <c r="DI136" s="1279"/>
      <c r="DJ136" s="1279"/>
      <c r="DK136" s="1279"/>
      <c r="DL136" s="1279"/>
      <c r="DM136" s="1279"/>
      <c r="DN136" s="1279"/>
      <c r="DO136" s="1279"/>
      <c r="DP136" s="1279"/>
      <c r="DQ136" s="1279"/>
      <c r="DR136" s="1279"/>
      <c r="DS136" s="1279"/>
      <c r="DT136" s="1279"/>
      <c r="DU136" s="1279"/>
      <c r="DV136" s="1279"/>
      <c r="DW136" s="1279"/>
      <c r="DX136" s="1279"/>
      <c r="DY136" s="1279"/>
      <c r="DZ136" s="1279"/>
      <c r="EA136" s="1279"/>
      <c r="EB136" s="1279"/>
      <c r="EC136" s="1279"/>
      <c r="ED136" s="1279"/>
      <c r="EE136" s="1279"/>
      <c r="EF136" s="1279"/>
      <c r="EG136" s="1279"/>
      <c r="EH136" s="1279"/>
      <c r="EI136" s="1279"/>
      <c r="EJ136" s="1279"/>
      <c r="EK136" s="1279"/>
      <c r="EL136" s="1279"/>
      <c r="EM136" s="1279"/>
      <c r="EN136" s="1279"/>
      <c r="EO136" s="1279"/>
    </row>
    <row r="137" spans="1:145" ht="15">
      <c r="A137" s="1331"/>
      <c r="B137" s="1331"/>
      <c r="C137" s="645"/>
      <c r="D137" s="1218"/>
      <c r="E137" s="1076"/>
      <c r="F137" s="1169"/>
      <c r="G137" s="1002"/>
      <c r="H137" s="1136"/>
      <c r="I137" s="1003"/>
      <c r="J137" s="1138"/>
      <c r="K137" s="1002"/>
      <c r="L137" s="1136"/>
      <c r="M137" s="1002"/>
      <c r="N137" s="1004"/>
      <c r="O137" s="1082"/>
      <c r="P137" s="1006"/>
      <c r="Q137" s="1006"/>
      <c r="R137" s="1007"/>
      <c r="S137" s="1006"/>
      <c r="T137" s="1006"/>
      <c r="U137" s="1006"/>
      <c r="V137" s="1006"/>
      <c r="W137" s="1006"/>
      <c r="X137" s="1008"/>
      <c r="Y137" s="1006"/>
      <c r="Z137" s="1006"/>
      <c r="AA137" s="1006"/>
      <c r="AB137" s="1006"/>
      <c r="AC137" s="1009"/>
      <c r="AD137" s="1006"/>
      <c r="AE137" s="1006"/>
      <c r="AF137" s="1006"/>
      <c r="AG137" s="1006"/>
      <c r="AH137" s="1009"/>
      <c r="AM137" s="1301"/>
      <c r="AQ137" s="1303"/>
      <c r="AS137" s="1301"/>
      <c r="AY137" s="1279"/>
      <c r="AZ137" s="1279"/>
      <c r="BA137" s="1279"/>
      <c r="BB137" s="1279"/>
      <c r="BC137" s="1279"/>
      <c r="BD137" s="1279"/>
      <c r="BE137" s="1279"/>
      <c r="BF137" s="1279"/>
      <c r="BG137" s="1279"/>
      <c r="BH137" s="1279"/>
      <c r="BI137" s="1279"/>
      <c r="BJ137" s="1279"/>
      <c r="BK137" s="1279"/>
      <c r="BL137" s="1279"/>
      <c r="BM137" s="1279"/>
      <c r="BN137" s="1279"/>
      <c r="BO137" s="1279"/>
      <c r="BP137" s="1279"/>
      <c r="BQ137" s="1279"/>
      <c r="BR137" s="1279"/>
      <c r="BS137" s="1279"/>
      <c r="BT137" s="1279"/>
      <c r="BU137" s="1279"/>
      <c r="BV137" s="1279"/>
      <c r="BW137" s="1279"/>
      <c r="BX137" s="1279"/>
      <c r="BY137" s="1279"/>
      <c r="BZ137" s="1279"/>
      <c r="CA137" s="1279"/>
      <c r="CB137" s="1279"/>
      <c r="CC137" s="1279"/>
      <c r="CD137" s="1279"/>
      <c r="CE137" s="1279"/>
      <c r="CF137" s="1279"/>
      <c r="CG137" s="1279"/>
      <c r="CH137" s="1279"/>
      <c r="CI137" s="1279"/>
      <c r="CJ137" s="1279"/>
      <c r="CK137" s="1279"/>
      <c r="CL137" s="1279"/>
      <c r="CM137" s="1279"/>
      <c r="CN137" s="1279"/>
      <c r="CO137" s="1279"/>
      <c r="CP137" s="1279"/>
      <c r="CQ137" s="1279"/>
      <c r="CR137" s="1279"/>
      <c r="CS137" s="1279"/>
      <c r="CT137" s="1279"/>
      <c r="CU137" s="1279"/>
      <c r="CV137" s="1279"/>
      <c r="CW137" s="1279"/>
      <c r="CX137" s="1279"/>
      <c r="CY137" s="1279"/>
      <c r="CZ137" s="1279"/>
      <c r="DA137" s="1279"/>
      <c r="DB137" s="1279"/>
      <c r="DC137" s="1279"/>
      <c r="DD137" s="1279"/>
      <c r="DE137" s="1279"/>
      <c r="DF137" s="1279"/>
      <c r="DG137" s="1279"/>
      <c r="DH137" s="1279"/>
      <c r="DI137" s="1279"/>
      <c r="DJ137" s="1279"/>
      <c r="DK137" s="1279"/>
      <c r="DL137" s="1279"/>
      <c r="DM137" s="1279"/>
      <c r="DN137" s="1279"/>
      <c r="DO137" s="1279"/>
      <c r="DP137" s="1279"/>
      <c r="DQ137" s="1279"/>
      <c r="DR137" s="1279"/>
      <c r="DS137" s="1279"/>
      <c r="DT137" s="1279"/>
      <c r="DU137" s="1279"/>
      <c r="DV137" s="1279"/>
      <c r="DW137" s="1279"/>
      <c r="DX137" s="1279"/>
      <c r="DY137" s="1279"/>
      <c r="DZ137" s="1279"/>
      <c r="EA137" s="1279"/>
      <c r="EB137" s="1279"/>
      <c r="EC137" s="1279"/>
      <c r="ED137" s="1279"/>
      <c r="EE137" s="1279"/>
      <c r="EF137" s="1279"/>
      <c r="EG137" s="1279"/>
      <c r="EH137" s="1279"/>
      <c r="EI137" s="1279"/>
      <c r="EJ137" s="1279"/>
      <c r="EK137" s="1279"/>
      <c r="EL137" s="1279"/>
      <c r="EM137" s="1279"/>
      <c r="EN137" s="1279"/>
      <c r="EO137" s="1279"/>
    </row>
    <row r="138" spans="1:145" ht="24.75">
      <c r="A138" s="1057" t="s">
        <v>103</v>
      </c>
      <c r="B138" s="1057"/>
      <c r="C138" s="656"/>
      <c r="D138" s="1156"/>
      <c r="E138" s="1050"/>
      <c r="F138" s="1167"/>
      <c r="G138" s="1332">
        <f>G98+G71</f>
        <v>95490.83257</v>
      </c>
      <c r="H138" s="1173"/>
      <c r="I138" s="1083"/>
      <c r="J138" s="1173"/>
      <c r="K138" s="1332">
        <f>K100+K135</f>
        <v>40347982.60154167</v>
      </c>
      <c r="L138" s="1333">
        <v>78154167.06333333</v>
      </c>
      <c r="M138" s="1332">
        <f>M100+M135</f>
        <v>21015661.012000002</v>
      </c>
      <c r="N138" s="1334"/>
      <c r="O138" s="1332">
        <f>O100+O135</f>
        <v>2259373.958438333</v>
      </c>
      <c r="P138" s="1332">
        <f>P100+P135</f>
        <v>141741088.57015002</v>
      </c>
      <c r="Q138" s="1332">
        <f>Q100+Q135</f>
        <v>134962966.694835</v>
      </c>
      <c r="R138" s="1041"/>
      <c r="S138" s="1083">
        <f aca="true" t="shared" si="88" ref="S138:AH138">S100+S135</f>
        <v>128977936.57015002</v>
      </c>
      <c r="T138" s="1083">
        <f t="shared" si="88"/>
        <v>12366431.999999998</v>
      </c>
      <c r="U138" s="1083">
        <f t="shared" si="88"/>
        <v>0</v>
      </c>
      <c r="V138" s="1083">
        <f t="shared" si="88"/>
        <v>125280</v>
      </c>
      <c r="W138" s="1083">
        <f t="shared" si="88"/>
        <v>141469648.57015002</v>
      </c>
      <c r="X138" s="1332">
        <f t="shared" si="88"/>
        <v>1786134.3301515088</v>
      </c>
      <c r="Y138" s="1083">
        <f t="shared" si="88"/>
        <v>25596604.93169167</v>
      </c>
      <c r="Z138" s="1083">
        <f t="shared" si="88"/>
        <v>2061071.9999999998</v>
      </c>
      <c r="AA138" s="1083">
        <f t="shared" si="88"/>
        <v>0</v>
      </c>
      <c r="AB138" s="1083">
        <f t="shared" si="88"/>
        <v>20880</v>
      </c>
      <c r="AC138" s="1083">
        <f t="shared" si="88"/>
        <v>27678556.93169167</v>
      </c>
      <c r="AD138" s="1083">
        <f t="shared" si="88"/>
        <v>816623.5584383333</v>
      </c>
      <c r="AE138" s="1083">
        <f t="shared" si="88"/>
        <v>1442750.3999999997</v>
      </c>
      <c r="AF138" s="1083">
        <f t="shared" si="88"/>
        <v>0</v>
      </c>
      <c r="AG138" s="1083">
        <f t="shared" si="88"/>
        <v>0</v>
      </c>
      <c r="AH138" s="1083">
        <f t="shared" si="88"/>
        <v>2259373.958438333</v>
      </c>
      <c r="AM138" s="1301"/>
      <c r="AQ138" s="1303"/>
      <c r="AS138" s="1301"/>
      <c r="AY138" s="1279"/>
      <c r="AZ138" s="1279"/>
      <c r="BA138" s="1279"/>
      <c r="BB138" s="1279"/>
      <c r="BC138" s="1279"/>
      <c r="BD138" s="1279"/>
      <c r="BE138" s="1279"/>
      <c r="BF138" s="1279"/>
      <c r="BG138" s="1279"/>
      <c r="BH138" s="1279"/>
      <c r="BI138" s="1279"/>
      <c r="BJ138" s="1279"/>
      <c r="BK138" s="1279"/>
      <c r="BL138" s="1279"/>
      <c r="BM138" s="1279"/>
      <c r="BN138" s="1279"/>
      <c r="BO138" s="1279"/>
      <c r="BP138" s="1279"/>
      <c r="BQ138" s="1279"/>
      <c r="BR138" s="1279"/>
      <c r="BS138" s="1279"/>
      <c r="BT138" s="1279"/>
      <c r="BU138" s="1279"/>
      <c r="BV138" s="1279"/>
      <c r="BW138" s="1279"/>
      <c r="BX138" s="1279"/>
      <c r="BY138" s="1279"/>
      <c r="BZ138" s="1279"/>
      <c r="CA138" s="1279"/>
      <c r="CB138" s="1279"/>
      <c r="CC138" s="1279"/>
      <c r="CD138" s="1279"/>
      <c r="CE138" s="1279"/>
      <c r="CF138" s="1279"/>
      <c r="CG138" s="1279"/>
      <c r="CH138" s="1279"/>
      <c r="CI138" s="1279"/>
      <c r="CJ138" s="1279"/>
      <c r="CK138" s="1279"/>
      <c r="CL138" s="1279"/>
      <c r="CM138" s="1279"/>
      <c r="CN138" s="1279"/>
      <c r="CO138" s="1279"/>
      <c r="CP138" s="1279"/>
      <c r="CQ138" s="1279"/>
      <c r="CR138" s="1279"/>
      <c r="CS138" s="1279"/>
      <c r="CT138" s="1279"/>
      <c r="CU138" s="1279"/>
      <c r="CV138" s="1279"/>
      <c r="CW138" s="1279"/>
      <c r="CX138" s="1279"/>
      <c r="CY138" s="1279"/>
      <c r="CZ138" s="1279"/>
      <c r="DA138" s="1279"/>
      <c r="DB138" s="1279"/>
      <c r="DC138" s="1279"/>
      <c r="DD138" s="1279"/>
      <c r="DE138" s="1279"/>
      <c r="DF138" s="1279"/>
      <c r="DG138" s="1279"/>
      <c r="DH138" s="1279"/>
      <c r="DI138" s="1279"/>
      <c r="DJ138" s="1279"/>
      <c r="DK138" s="1279"/>
      <c r="DL138" s="1279"/>
      <c r="DM138" s="1279"/>
      <c r="DN138" s="1279"/>
      <c r="DO138" s="1279"/>
      <c r="DP138" s="1279"/>
      <c r="DQ138" s="1279"/>
      <c r="DR138" s="1279"/>
      <c r="DS138" s="1279"/>
      <c r="DT138" s="1279"/>
      <c r="DU138" s="1279"/>
      <c r="DV138" s="1279"/>
      <c r="DW138" s="1279"/>
      <c r="DX138" s="1279"/>
      <c r="DY138" s="1279"/>
      <c r="DZ138" s="1279"/>
      <c r="EA138" s="1279"/>
      <c r="EB138" s="1279"/>
      <c r="EC138" s="1279"/>
      <c r="ED138" s="1279"/>
      <c r="EE138" s="1279"/>
      <c r="EF138" s="1279"/>
      <c r="EG138" s="1279"/>
      <c r="EH138" s="1279"/>
      <c r="EI138" s="1279"/>
      <c r="EJ138" s="1279"/>
      <c r="EK138" s="1279"/>
      <c r="EL138" s="1279"/>
      <c r="EM138" s="1279"/>
      <c r="EN138" s="1279"/>
      <c r="EO138" s="1279"/>
    </row>
    <row r="139" spans="1:145" ht="19.5">
      <c r="A139" s="1084"/>
      <c r="B139" s="1084"/>
      <c r="C139" s="656"/>
      <c r="D139" s="656"/>
      <c r="E139" s="1050"/>
      <c r="F139" s="1050"/>
      <c r="G139" s="1083"/>
      <c r="H139" s="1083"/>
      <c r="I139" s="1083"/>
      <c r="J139" s="1083"/>
      <c r="K139" s="1332"/>
      <c r="L139" s="1333"/>
      <c r="M139" s="1332"/>
      <c r="N139" s="1334"/>
      <c r="O139" s="1332"/>
      <c r="P139" s="1332"/>
      <c r="Q139" s="1332"/>
      <c r="R139" s="1041"/>
      <c r="S139" s="1029"/>
      <c r="T139" s="1029"/>
      <c r="U139" s="1029"/>
      <c r="V139" s="1029"/>
      <c r="W139" s="1029"/>
      <c r="X139" s="1029"/>
      <c r="Y139" s="1029"/>
      <c r="Z139" s="1029"/>
      <c r="AA139" s="1029"/>
      <c r="AB139" s="1029"/>
      <c r="AC139" s="1029"/>
      <c r="AD139" s="1029"/>
      <c r="AE139" s="1029"/>
      <c r="AF139" s="1029"/>
      <c r="AG139" s="1029"/>
      <c r="AH139" s="1029"/>
      <c r="AM139" s="1301"/>
      <c r="AQ139" s="1303"/>
      <c r="AS139" s="1301"/>
      <c r="AY139" s="1279"/>
      <c r="AZ139" s="1279"/>
      <c r="BA139" s="1279"/>
      <c r="BB139" s="1279"/>
      <c r="BC139" s="1279"/>
      <c r="BD139" s="1279"/>
      <c r="BE139" s="1279"/>
      <c r="BF139" s="1279"/>
      <c r="BG139" s="1279"/>
      <c r="BH139" s="1279"/>
      <c r="BI139" s="1279"/>
      <c r="BJ139" s="1279"/>
      <c r="BK139" s="1279"/>
      <c r="BL139" s="1279"/>
      <c r="BM139" s="1279"/>
      <c r="BN139" s="1279"/>
      <c r="BO139" s="1279"/>
      <c r="BP139" s="1279"/>
      <c r="BQ139" s="1279"/>
      <c r="BR139" s="1279"/>
      <c r="BS139" s="1279"/>
      <c r="BT139" s="1279"/>
      <c r="BU139" s="1279"/>
      <c r="BV139" s="1279"/>
      <c r="BW139" s="1279"/>
      <c r="BX139" s="1279"/>
      <c r="BY139" s="1279"/>
      <c r="BZ139" s="1279"/>
      <c r="CA139" s="1279"/>
      <c r="CB139" s="1279"/>
      <c r="CC139" s="1279"/>
      <c r="CD139" s="1279"/>
      <c r="CE139" s="1279"/>
      <c r="CF139" s="1279"/>
      <c r="CG139" s="1279"/>
      <c r="CH139" s="1279"/>
      <c r="CI139" s="1279"/>
      <c r="CJ139" s="1279"/>
      <c r="CK139" s="1279"/>
      <c r="CL139" s="1279"/>
      <c r="CM139" s="1279"/>
      <c r="CN139" s="1279"/>
      <c r="CO139" s="1279"/>
      <c r="CP139" s="1279"/>
      <c r="CQ139" s="1279"/>
      <c r="CR139" s="1279"/>
      <c r="CS139" s="1279"/>
      <c r="CT139" s="1279"/>
      <c r="CU139" s="1279"/>
      <c r="CV139" s="1279"/>
      <c r="CW139" s="1279"/>
      <c r="CX139" s="1279"/>
      <c r="CY139" s="1279"/>
      <c r="CZ139" s="1279"/>
      <c r="DA139" s="1279"/>
      <c r="DB139" s="1279"/>
      <c r="DC139" s="1279"/>
      <c r="DD139" s="1279"/>
      <c r="DE139" s="1279"/>
      <c r="DF139" s="1279"/>
      <c r="DG139" s="1279"/>
      <c r="DH139" s="1279"/>
      <c r="DI139" s="1279"/>
      <c r="DJ139" s="1279"/>
      <c r="DK139" s="1279"/>
      <c r="DL139" s="1279"/>
      <c r="DM139" s="1279"/>
      <c r="DN139" s="1279"/>
      <c r="DO139" s="1279"/>
      <c r="DP139" s="1279"/>
      <c r="DQ139" s="1279"/>
      <c r="DR139" s="1279"/>
      <c r="DS139" s="1279"/>
      <c r="DT139" s="1279"/>
      <c r="DU139" s="1279"/>
      <c r="DV139" s="1279"/>
      <c r="DW139" s="1279"/>
      <c r="DX139" s="1279"/>
      <c r="DY139" s="1279"/>
      <c r="DZ139" s="1279"/>
      <c r="EA139" s="1279"/>
      <c r="EB139" s="1279"/>
      <c r="EC139" s="1279"/>
      <c r="ED139" s="1279"/>
      <c r="EE139" s="1279"/>
      <c r="EF139" s="1279"/>
      <c r="EG139" s="1279"/>
      <c r="EH139" s="1279"/>
      <c r="EI139" s="1279"/>
      <c r="EJ139" s="1279"/>
      <c r="EK139" s="1279"/>
      <c r="EL139" s="1279"/>
      <c r="EM139" s="1279"/>
      <c r="EN139" s="1279"/>
      <c r="EO139" s="1279"/>
    </row>
    <row r="140" spans="1:145" ht="22.5">
      <c r="A140" s="1045" t="s">
        <v>25</v>
      </c>
      <c r="B140" s="1045"/>
      <c r="C140" s="656"/>
      <c r="D140" s="656"/>
      <c r="E140" s="1050"/>
      <c r="F140" s="1050"/>
      <c r="G140" s="1083"/>
      <c r="H140" s="1083"/>
      <c r="I140" s="1083"/>
      <c r="J140" s="1083"/>
      <c r="K140" s="1332"/>
      <c r="L140" s="1333"/>
      <c r="M140" s="1332"/>
      <c r="N140" s="1334"/>
      <c r="O140" s="1332"/>
      <c r="P140" s="1332"/>
      <c r="Q140" s="1332"/>
      <c r="R140" s="1041"/>
      <c r="S140" s="1029"/>
      <c r="T140" s="1029"/>
      <c r="U140" s="1029"/>
      <c r="V140" s="1029"/>
      <c r="W140" s="1029"/>
      <c r="X140" s="1029"/>
      <c r="Y140" s="1029"/>
      <c r="Z140" s="1029"/>
      <c r="AA140" s="1029"/>
      <c r="AB140" s="1029"/>
      <c r="AC140" s="1029"/>
      <c r="AD140" s="1029"/>
      <c r="AE140" s="1029"/>
      <c r="AF140" s="1029"/>
      <c r="AG140" s="1029"/>
      <c r="AH140" s="1029"/>
      <c r="AM140" s="1301"/>
      <c r="AQ140" s="1303"/>
      <c r="AS140" s="1301"/>
      <c r="AY140" s="1279"/>
      <c r="AZ140" s="1279"/>
      <c r="BA140" s="1279"/>
      <c r="BB140" s="1279"/>
      <c r="BC140" s="1279"/>
      <c r="BD140" s="1279"/>
      <c r="BE140" s="1279"/>
      <c r="BF140" s="1279"/>
      <c r="BG140" s="1279"/>
      <c r="BH140" s="1279"/>
      <c r="BI140" s="1279"/>
      <c r="BJ140" s="1279"/>
      <c r="BK140" s="1279"/>
      <c r="BL140" s="1279"/>
      <c r="BM140" s="1279"/>
      <c r="BN140" s="1279"/>
      <c r="BO140" s="1279"/>
      <c r="BP140" s="1279"/>
      <c r="BQ140" s="1279"/>
      <c r="BR140" s="1279"/>
      <c r="BS140" s="1279"/>
      <c r="BT140" s="1279"/>
      <c r="BU140" s="1279"/>
      <c r="BV140" s="1279"/>
      <c r="BW140" s="1279"/>
      <c r="BX140" s="1279"/>
      <c r="BY140" s="1279"/>
      <c r="BZ140" s="1279"/>
      <c r="CA140" s="1279"/>
      <c r="CB140" s="1279"/>
      <c r="CC140" s="1279"/>
      <c r="CD140" s="1279"/>
      <c r="CE140" s="1279"/>
      <c r="CF140" s="1279"/>
      <c r="CG140" s="1279"/>
      <c r="CH140" s="1279"/>
      <c r="CI140" s="1279"/>
      <c r="CJ140" s="1279"/>
      <c r="CK140" s="1279"/>
      <c r="CL140" s="1279"/>
      <c r="CM140" s="1279"/>
      <c r="CN140" s="1279"/>
      <c r="CO140" s="1279"/>
      <c r="CP140" s="1279"/>
      <c r="CQ140" s="1279"/>
      <c r="CR140" s="1279"/>
      <c r="CS140" s="1279"/>
      <c r="CT140" s="1279"/>
      <c r="CU140" s="1279"/>
      <c r="CV140" s="1279"/>
      <c r="CW140" s="1279"/>
      <c r="CX140" s="1279"/>
      <c r="CY140" s="1279"/>
      <c r="CZ140" s="1279"/>
      <c r="DA140" s="1279"/>
      <c r="DB140" s="1279"/>
      <c r="DC140" s="1279"/>
      <c r="DD140" s="1279"/>
      <c r="DE140" s="1279"/>
      <c r="DF140" s="1279"/>
      <c r="DG140" s="1279"/>
      <c r="DH140" s="1279"/>
      <c r="DI140" s="1279"/>
      <c r="DJ140" s="1279"/>
      <c r="DK140" s="1279"/>
      <c r="DL140" s="1279"/>
      <c r="DM140" s="1279"/>
      <c r="DN140" s="1279"/>
      <c r="DO140" s="1279"/>
      <c r="DP140" s="1279"/>
      <c r="DQ140" s="1279"/>
      <c r="DR140" s="1279"/>
      <c r="DS140" s="1279"/>
      <c r="DT140" s="1279"/>
      <c r="DU140" s="1279"/>
      <c r="DV140" s="1279"/>
      <c r="DW140" s="1279"/>
      <c r="DX140" s="1279"/>
      <c r="DY140" s="1279"/>
      <c r="DZ140" s="1279"/>
      <c r="EA140" s="1279"/>
      <c r="EB140" s="1279"/>
      <c r="EC140" s="1279"/>
      <c r="ED140" s="1279"/>
      <c r="EE140" s="1279"/>
      <c r="EF140" s="1279"/>
      <c r="EG140" s="1279"/>
      <c r="EH140" s="1279"/>
      <c r="EI140" s="1279"/>
      <c r="EJ140" s="1279"/>
      <c r="EK140" s="1279"/>
      <c r="EL140" s="1279"/>
      <c r="EM140" s="1279"/>
      <c r="EN140" s="1279"/>
      <c r="EO140" s="1279"/>
    </row>
    <row r="141" spans="1:145" ht="49.5">
      <c r="A141" s="1085" t="s">
        <v>104</v>
      </c>
      <c r="B141" s="1085"/>
      <c r="C141" s="1086"/>
      <c r="D141" s="1086"/>
      <c r="E141" s="995"/>
      <c r="F141" s="995"/>
      <c r="G141" s="1087"/>
      <c r="H141" s="1087"/>
      <c r="I141" s="1087"/>
      <c r="J141" s="1087"/>
      <c r="K141" s="1087"/>
      <c r="L141" s="1143"/>
      <c r="M141" s="1087"/>
      <c r="N141" s="1088"/>
      <c r="O141" s="1088"/>
      <c r="P141" s="1089"/>
      <c r="Q141" s="1089"/>
      <c r="R141" s="760"/>
      <c r="S141" s="1089"/>
      <c r="T141" s="1089"/>
      <c r="U141" s="1089"/>
      <c r="V141" s="1089"/>
      <c r="W141" s="1089"/>
      <c r="X141" s="1090"/>
      <c r="Y141" s="1090"/>
      <c r="Z141" s="1090"/>
      <c r="AA141" s="1090"/>
      <c r="AB141" s="1090"/>
      <c r="AC141" s="1090"/>
      <c r="AD141" s="1090"/>
      <c r="AE141" s="1090"/>
      <c r="AF141" s="1090"/>
      <c r="AG141" s="1090"/>
      <c r="AH141" s="1090"/>
      <c r="AM141" s="1301"/>
      <c r="AQ141" s="1303"/>
      <c r="AS141" s="1301"/>
      <c r="AY141" s="1279"/>
      <c r="AZ141" s="1279"/>
      <c r="BA141" s="1279"/>
      <c r="BB141" s="1279"/>
      <c r="BC141" s="1279"/>
      <c r="BD141" s="1279"/>
      <c r="BE141" s="1279"/>
      <c r="BF141" s="1279"/>
      <c r="BG141" s="1279"/>
      <c r="BH141" s="1279"/>
      <c r="BI141" s="1279"/>
      <c r="BJ141" s="1279"/>
      <c r="BK141" s="1279"/>
      <c r="BL141" s="1279"/>
      <c r="BM141" s="1279"/>
      <c r="BN141" s="1279"/>
      <c r="BO141" s="1279"/>
      <c r="BP141" s="1279"/>
      <c r="BQ141" s="1279"/>
      <c r="BR141" s="1279"/>
      <c r="BS141" s="1279"/>
      <c r="BT141" s="1279"/>
      <c r="BU141" s="1279"/>
      <c r="BV141" s="1279"/>
      <c r="BW141" s="1279"/>
      <c r="BX141" s="1279"/>
      <c r="BY141" s="1279"/>
      <c r="BZ141" s="1279"/>
      <c r="CA141" s="1279"/>
      <c r="CB141" s="1279"/>
      <c r="CC141" s="1279"/>
      <c r="CD141" s="1279"/>
      <c r="CE141" s="1279"/>
      <c r="CF141" s="1279"/>
      <c r="CG141" s="1279"/>
      <c r="CH141" s="1279"/>
      <c r="CI141" s="1279"/>
      <c r="CJ141" s="1279"/>
      <c r="CK141" s="1279"/>
      <c r="CL141" s="1279"/>
      <c r="CM141" s="1279"/>
      <c r="CN141" s="1279"/>
      <c r="CO141" s="1279"/>
      <c r="CP141" s="1279"/>
      <c r="CQ141" s="1279"/>
      <c r="CR141" s="1279"/>
      <c r="CS141" s="1279"/>
      <c r="CT141" s="1279"/>
      <c r="CU141" s="1279"/>
      <c r="CV141" s="1279"/>
      <c r="CW141" s="1279"/>
      <c r="CX141" s="1279"/>
      <c r="CY141" s="1279"/>
      <c r="CZ141" s="1279"/>
      <c r="DA141" s="1279"/>
      <c r="DB141" s="1279"/>
      <c r="DC141" s="1279"/>
      <c r="DD141" s="1279"/>
      <c r="DE141" s="1279"/>
      <c r="DF141" s="1279"/>
      <c r="DG141" s="1279"/>
      <c r="DH141" s="1279"/>
      <c r="DI141" s="1279"/>
      <c r="DJ141" s="1279"/>
      <c r="DK141" s="1279"/>
      <c r="DL141" s="1279"/>
      <c r="DM141" s="1279"/>
      <c r="DN141" s="1279"/>
      <c r="DO141" s="1279"/>
      <c r="DP141" s="1279"/>
      <c r="DQ141" s="1279"/>
      <c r="DR141" s="1279"/>
      <c r="DS141" s="1279"/>
      <c r="DT141" s="1279"/>
      <c r="DU141" s="1279"/>
      <c r="DV141" s="1279"/>
      <c r="DW141" s="1279"/>
      <c r="DX141" s="1279"/>
      <c r="DY141" s="1279"/>
      <c r="DZ141" s="1279"/>
      <c r="EA141" s="1279"/>
      <c r="EB141" s="1279"/>
      <c r="EC141" s="1279"/>
      <c r="ED141" s="1279"/>
      <c r="EE141" s="1279"/>
      <c r="EF141" s="1279"/>
      <c r="EG141" s="1279"/>
      <c r="EH141" s="1279"/>
      <c r="EI141" s="1279"/>
      <c r="EJ141" s="1279"/>
      <c r="EK141" s="1279"/>
      <c r="EL141" s="1279"/>
      <c r="EM141" s="1279"/>
      <c r="EN141" s="1279"/>
      <c r="EO141" s="1279"/>
    </row>
    <row r="142" spans="1:145" ht="24.75">
      <c r="A142" s="1085"/>
      <c r="B142" s="1085"/>
      <c r="C142" s="1086"/>
      <c r="D142" s="1086"/>
      <c r="E142" s="995"/>
      <c r="F142" s="995"/>
      <c r="G142" s="1087"/>
      <c r="H142" s="1087"/>
      <c r="I142" s="1087"/>
      <c r="J142" s="1087"/>
      <c r="K142" s="1087"/>
      <c r="L142" s="1143"/>
      <c r="M142" s="1087"/>
      <c r="N142" s="1088"/>
      <c r="O142" s="1088"/>
      <c r="P142" s="1089"/>
      <c r="Q142" s="1089"/>
      <c r="R142" s="760"/>
      <c r="S142" s="1089"/>
      <c r="T142" s="1089"/>
      <c r="U142" s="1089"/>
      <c r="V142" s="1089"/>
      <c r="W142" s="1089"/>
      <c r="X142" s="1090"/>
      <c r="Y142" s="1090"/>
      <c r="Z142" s="1090"/>
      <c r="AA142" s="1090"/>
      <c r="AB142" s="1090"/>
      <c r="AC142" s="1090"/>
      <c r="AD142" s="1090"/>
      <c r="AE142" s="1090"/>
      <c r="AF142" s="1090"/>
      <c r="AG142" s="1090"/>
      <c r="AH142" s="1090"/>
      <c r="AM142" s="1301"/>
      <c r="AQ142" s="1303"/>
      <c r="AS142" s="1301"/>
      <c r="AY142" s="1279"/>
      <c r="AZ142" s="1279"/>
      <c r="BA142" s="1279"/>
      <c r="BB142" s="1279"/>
      <c r="BC142" s="1279"/>
      <c r="BD142" s="1279"/>
      <c r="BE142" s="1279"/>
      <c r="BF142" s="1279"/>
      <c r="BG142" s="1279"/>
      <c r="BH142" s="1279"/>
      <c r="BI142" s="1279"/>
      <c r="BJ142" s="1279"/>
      <c r="BK142" s="1279"/>
      <c r="BL142" s="1279"/>
      <c r="BM142" s="1279"/>
      <c r="BN142" s="1279"/>
      <c r="BO142" s="1279"/>
      <c r="BP142" s="1279"/>
      <c r="BQ142" s="1279"/>
      <c r="BR142" s="1279"/>
      <c r="BS142" s="1279"/>
      <c r="BT142" s="1279"/>
      <c r="BU142" s="1279"/>
      <c r="BV142" s="1279"/>
      <c r="BW142" s="1279"/>
      <c r="BX142" s="1279"/>
      <c r="BY142" s="1279"/>
      <c r="BZ142" s="1279"/>
      <c r="CA142" s="1279"/>
      <c r="CB142" s="1279"/>
      <c r="CC142" s="1279"/>
      <c r="CD142" s="1279"/>
      <c r="CE142" s="1279"/>
      <c r="CF142" s="1279"/>
      <c r="CG142" s="1279"/>
      <c r="CH142" s="1279"/>
      <c r="CI142" s="1279"/>
      <c r="CJ142" s="1279"/>
      <c r="CK142" s="1279"/>
      <c r="CL142" s="1279"/>
      <c r="CM142" s="1279"/>
      <c r="CN142" s="1279"/>
      <c r="CO142" s="1279"/>
      <c r="CP142" s="1279"/>
      <c r="CQ142" s="1279"/>
      <c r="CR142" s="1279"/>
      <c r="CS142" s="1279"/>
      <c r="CT142" s="1279"/>
      <c r="CU142" s="1279"/>
      <c r="CV142" s="1279"/>
      <c r="CW142" s="1279"/>
      <c r="CX142" s="1279"/>
      <c r="CY142" s="1279"/>
      <c r="CZ142" s="1279"/>
      <c r="DA142" s="1279"/>
      <c r="DB142" s="1279"/>
      <c r="DC142" s="1279"/>
      <c r="DD142" s="1279"/>
      <c r="DE142" s="1279"/>
      <c r="DF142" s="1279"/>
      <c r="DG142" s="1279"/>
      <c r="DH142" s="1279"/>
      <c r="DI142" s="1279"/>
      <c r="DJ142" s="1279"/>
      <c r="DK142" s="1279"/>
      <c r="DL142" s="1279"/>
      <c r="DM142" s="1279"/>
      <c r="DN142" s="1279"/>
      <c r="DO142" s="1279"/>
      <c r="DP142" s="1279"/>
      <c r="DQ142" s="1279"/>
      <c r="DR142" s="1279"/>
      <c r="DS142" s="1279"/>
      <c r="DT142" s="1279"/>
      <c r="DU142" s="1279"/>
      <c r="DV142" s="1279"/>
      <c r="DW142" s="1279"/>
      <c r="DX142" s="1279"/>
      <c r="DY142" s="1279"/>
      <c r="DZ142" s="1279"/>
      <c r="EA142" s="1279"/>
      <c r="EB142" s="1279"/>
      <c r="EC142" s="1279"/>
      <c r="ED142" s="1279"/>
      <c r="EE142" s="1279"/>
      <c r="EF142" s="1279"/>
      <c r="EG142" s="1279"/>
      <c r="EH142" s="1279"/>
      <c r="EI142" s="1279"/>
      <c r="EJ142" s="1279"/>
      <c r="EK142" s="1279"/>
      <c r="EL142" s="1279"/>
      <c r="EM142" s="1279"/>
      <c r="EN142" s="1279"/>
      <c r="EO142" s="1279"/>
    </row>
    <row r="143" spans="1:145" ht="46.5">
      <c r="A143" s="1175" t="s">
        <v>923</v>
      </c>
      <c r="B143" s="1091"/>
      <c r="C143" s="1092" t="s">
        <v>25</v>
      </c>
      <c r="D143" s="1092"/>
      <c r="E143" s="1093"/>
      <c r="F143" s="1093"/>
      <c r="G143" s="1094"/>
      <c r="H143" s="1094"/>
      <c r="I143" s="1094"/>
      <c r="J143" s="1094"/>
      <c r="K143" s="1179">
        <f>SUM(K144:K158)</f>
        <v>36977857</v>
      </c>
      <c r="L143" s="1144">
        <v>4000000</v>
      </c>
      <c r="M143" s="1179"/>
      <c r="N143" s="1095"/>
      <c r="O143" s="1095"/>
      <c r="P143" s="1096"/>
      <c r="Q143" s="1096"/>
      <c r="R143" s="1097"/>
      <c r="S143" s="1096"/>
      <c r="T143" s="1096"/>
      <c r="U143" s="1096"/>
      <c r="V143" s="1096"/>
      <c r="W143" s="1096"/>
      <c r="X143" s="1098"/>
      <c r="Y143" s="1098"/>
      <c r="Z143" s="1098"/>
      <c r="AA143" s="1098"/>
      <c r="AB143" s="1098"/>
      <c r="AC143" s="1098"/>
      <c r="AD143" s="1098"/>
      <c r="AE143" s="1098"/>
      <c r="AF143" s="1098"/>
      <c r="AG143" s="1098"/>
      <c r="AH143" s="1098"/>
      <c r="AI143" s="972"/>
      <c r="AJ143" s="1052"/>
      <c r="AK143" s="1052"/>
      <c r="AL143" s="1053"/>
      <c r="AM143" s="1220"/>
      <c r="AN143" s="1054"/>
      <c r="AO143" s="972"/>
      <c r="AP143" s="972"/>
      <c r="AQ143" s="1221"/>
      <c r="AR143" s="1053"/>
      <c r="AS143" s="1220">
        <v>716667</v>
      </c>
      <c r="AT143" s="1053"/>
      <c r="AU143" s="1055"/>
      <c r="AV143" s="972"/>
      <c r="AW143" s="972"/>
      <c r="AX143" s="972"/>
      <c r="AY143" s="1056"/>
      <c r="AZ143" s="1056"/>
      <c r="BA143" s="1056"/>
      <c r="BB143" s="1056"/>
      <c r="BC143" s="1056"/>
      <c r="BD143" s="1056"/>
      <c r="BE143" s="1056"/>
      <c r="BF143" s="1056"/>
      <c r="BG143" s="1056"/>
      <c r="BH143" s="1056"/>
      <c r="BI143" s="1056"/>
      <c r="BJ143" s="1056"/>
      <c r="BK143" s="1056"/>
      <c r="BL143" s="1056"/>
      <c r="BM143" s="1056"/>
      <c r="BN143" s="1056"/>
      <c r="BO143" s="1056"/>
      <c r="BP143" s="1056"/>
      <c r="BQ143" s="1056"/>
      <c r="BR143" s="1056"/>
      <c r="BS143" s="1056"/>
      <c r="BT143" s="1056"/>
      <c r="BU143" s="1056"/>
      <c r="BV143" s="1056"/>
      <c r="BW143" s="1056"/>
      <c r="BX143" s="1056"/>
      <c r="BY143" s="1056"/>
      <c r="BZ143" s="1056"/>
      <c r="CA143" s="1056"/>
      <c r="CB143" s="1056"/>
      <c r="CC143" s="1056"/>
      <c r="CD143" s="1056"/>
      <c r="CE143" s="1056"/>
      <c r="CF143" s="1056"/>
      <c r="CG143" s="1056"/>
      <c r="CH143" s="1056"/>
      <c r="CI143" s="1056"/>
      <c r="CJ143" s="1056"/>
      <c r="CK143" s="1056"/>
      <c r="CL143" s="1056"/>
      <c r="CM143" s="1056"/>
      <c r="CN143" s="1056"/>
      <c r="CO143" s="1056"/>
      <c r="CP143" s="1056"/>
      <c r="CQ143" s="1056"/>
      <c r="CR143" s="1056"/>
      <c r="CS143" s="1056"/>
      <c r="CT143" s="1056"/>
      <c r="CU143" s="1056"/>
      <c r="CV143" s="1056"/>
      <c r="CW143" s="1056"/>
      <c r="CX143" s="1056"/>
      <c r="CY143" s="1056"/>
      <c r="CZ143" s="1056"/>
      <c r="DA143" s="1056"/>
      <c r="DB143" s="1056"/>
      <c r="DC143" s="1056"/>
      <c r="DD143" s="1056"/>
      <c r="DE143" s="1056"/>
      <c r="DF143" s="1056"/>
      <c r="DG143" s="1056"/>
      <c r="DH143" s="1056"/>
      <c r="DI143" s="1056"/>
      <c r="DJ143" s="1056"/>
      <c r="DK143" s="1056"/>
      <c r="DL143" s="1056"/>
      <c r="DM143" s="1056"/>
      <c r="DN143" s="1056"/>
      <c r="DO143" s="1056"/>
      <c r="DP143" s="1056"/>
      <c r="DQ143" s="1056"/>
      <c r="DR143" s="1056"/>
      <c r="DS143" s="1056"/>
      <c r="DT143" s="1056"/>
      <c r="DU143" s="1056"/>
      <c r="DV143" s="1056"/>
      <c r="DW143" s="1056"/>
      <c r="DX143" s="1056"/>
      <c r="DY143" s="1056"/>
      <c r="DZ143" s="1056"/>
      <c r="EA143" s="1056"/>
      <c r="EB143" s="1056"/>
      <c r="EC143" s="1056"/>
      <c r="ED143" s="1056"/>
      <c r="EE143" s="1056"/>
      <c r="EF143" s="1056"/>
      <c r="EG143" s="1056"/>
      <c r="EH143" s="1056"/>
      <c r="EI143" s="1056"/>
      <c r="EJ143" s="1056"/>
      <c r="EK143" s="1056"/>
      <c r="EL143" s="1056"/>
      <c r="EM143" s="1056"/>
      <c r="EN143" s="1279"/>
      <c r="EO143" s="1279"/>
    </row>
    <row r="144" spans="1:145" ht="18.75" customHeight="1">
      <c r="A144" s="1258" t="s">
        <v>1271</v>
      </c>
      <c r="B144" s="1259" t="s">
        <v>1276</v>
      </c>
      <c r="C144" s="1103"/>
      <c r="D144" s="1103"/>
      <c r="E144" s="995"/>
      <c r="F144" s="995"/>
      <c r="G144" s="996"/>
      <c r="H144" s="1234" t="s">
        <v>1675</v>
      </c>
      <c r="I144" s="996"/>
      <c r="J144" s="996"/>
      <c r="K144" s="1264">
        <v>672000</v>
      </c>
      <c r="L144" s="1217"/>
      <c r="M144" s="1104"/>
      <c r="N144" s="997"/>
      <c r="O144" s="997"/>
      <c r="P144" s="998"/>
      <c r="Q144" s="998"/>
      <c r="R144" s="999"/>
      <c r="S144" s="998"/>
      <c r="T144" s="998"/>
      <c r="U144" s="998"/>
      <c r="V144" s="998"/>
      <c r="W144" s="998"/>
      <c r="X144" s="1000"/>
      <c r="Y144" s="1000"/>
      <c r="Z144" s="1000"/>
      <c r="AA144" s="1000"/>
      <c r="AB144" s="1000"/>
      <c r="AC144" s="1000"/>
      <c r="AD144" s="1000"/>
      <c r="AE144" s="1000"/>
      <c r="AF144" s="1000"/>
      <c r="AG144" s="1000"/>
      <c r="AH144" s="1000"/>
      <c r="AI144" s="972"/>
      <c r="AJ144" s="1052"/>
      <c r="AK144" s="1052"/>
      <c r="AL144" s="1053"/>
      <c r="AM144" s="1220"/>
      <c r="AN144" s="1054"/>
      <c r="AO144" s="972"/>
      <c r="AP144" s="972"/>
      <c r="AQ144" s="1221"/>
      <c r="AR144" s="1053"/>
      <c r="AS144" s="1220"/>
      <c r="AT144" s="1053"/>
      <c r="AU144" s="1055"/>
      <c r="AV144" s="972"/>
      <c r="AW144" s="972"/>
      <c r="AX144" s="972"/>
      <c r="AY144" s="1056"/>
      <c r="AZ144" s="1056"/>
      <c r="BA144" s="1056"/>
      <c r="BB144" s="1056"/>
      <c r="BC144" s="1056"/>
      <c r="BD144" s="1056"/>
      <c r="BE144" s="1056"/>
      <c r="BF144" s="1056"/>
      <c r="BG144" s="1056"/>
      <c r="BH144" s="1056"/>
      <c r="BI144" s="1056"/>
      <c r="BJ144" s="1056"/>
      <c r="BK144" s="1056"/>
      <c r="BL144" s="1056"/>
      <c r="BM144" s="1056"/>
      <c r="BN144" s="1056"/>
      <c r="BO144" s="1056"/>
      <c r="BP144" s="1056"/>
      <c r="BQ144" s="1056"/>
      <c r="BR144" s="1056"/>
      <c r="BS144" s="1056"/>
      <c r="BT144" s="1056"/>
      <c r="BU144" s="1056"/>
      <c r="BV144" s="1056"/>
      <c r="BW144" s="1056"/>
      <c r="BX144" s="1056"/>
      <c r="BY144" s="1056"/>
      <c r="BZ144" s="1056"/>
      <c r="CA144" s="1056"/>
      <c r="CB144" s="1056"/>
      <c r="CC144" s="1056"/>
      <c r="CD144" s="1056"/>
      <c r="CE144" s="1056"/>
      <c r="CF144" s="1056"/>
      <c r="CG144" s="1056"/>
      <c r="CH144" s="1056"/>
      <c r="CI144" s="1056"/>
      <c r="CJ144" s="1056"/>
      <c r="CK144" s="1056"/>
      <c r="CL144" s="1056"/>
      <c r="CM144" s="1056"/>
      <c r="CN144" s="1056"/>
      <c r="CO144" s="1056"/>
      <c r="CP144" s="1056"/>
      <c r="CQ144" s="1056"/>
      <c r="CR144" s="1056"/>
      <c r="CS144" s="1056"/>
      <c r="CT144" s="1056"/>
      <c r="CU144" s="1056"/>
      <c r="CV144" s="1056"/>
      <c r="CW144" s="1056"/>
      <c r="CX144" s="1056"/>
      <c r="CY144" s="1056"/>
      <c r="CZ144" s="1056"/>
      <c r="DA144" s="1056"/>
      <c r="DB144" s="1056"/>
      <c r="DC144" s="1056"/>
      <c r="DD144" s="1056"/>
      <c r="DE144" s="1056"/>
      <c r="DF144" s="1056"/>
      <c r="DG144" s="1056"/>
      <c r="DH144" s="1056"/>
      <c r="DI144" s="1056"/>
      <c r="DJ144" s="1056"/>
      <c r="DK144" s="1056"/>
      <c r="DL144" s="1056"/>
      <c r="DM144" s="1056"/>
      <c r="DN144" s="1056"/>
      <c r="DO144" s="1056"/>
      <c r="DP144" s="1056"/>
      <c r="DQ144" s="1056"/>
      <c r="DR144" s="1056"/>
      <c r="DS144" s="1056"/>
      <c r="DT144" s="1056"/>
      <c r="DU144" s="1056"/>
      <c r="DV144" s="1056"/>
      <c r="DW144" s="1056"/>
      <c r="DX144" s="1056"/>
      <c r="DY144" s="1056"/>
      <c r="DZ144" s="1056"/>
      <c r="EA144" s="1056"/>
      <c r="EB144" s="1056"/>
      <c r="EC144" s="1056"/>
      <c r="ED144" s="1056"/>
      <c r="EE144" s="1056"/>
      <c r="EF144" s="1056"/>
      <c r="EG144" s="1056"/>
      <c r="EH144" s="1056"/>
      <c r="EI144" s="1056"/>
      <c r="EJ144" s="1056"/>
      <c r="EK144" s="1056"/>
      <c r="EL144" s="1056"/>
      <c r="EM144" s="1056"/>
      <c r="EN144" s="1279"/>
      <c r="EO144" s="1279"/>
    </row>
    <row r="145" spans="1:145" ht="15">
      <c r="A145" s="1258" t="s">
        <v>1272</v>
      </c>
      <c r="B145" s="1259"/>
      <c r="C145" s="1103"/>
      <c r="D145" s="1103"/>
      <c r="E145" s="995"/>
      <c r="F145" s="995"/>
      <c r="G145" s="996"/>
      <c r="H145" s="996"/>
      <c r="I145" s="996"/>
      <c r="J145" s="996"/>
      <c r="K145" s="1264">
        <v>50000</v>
      </c>
      <c r="L145" s="1217"/>
      <c r="M145" s="1104"/>
      <c r="N145" s="997"/>
      <c r="O145" s="997"/>
      <c r="P145" s="998"/>
      <c r="Q145" s="998"/>
      <c r="R145" s="999"/>
      <c r="S145" s="998"/>
      <c r="T145" s="998"/>
      <c r="U145" s="998"/>
      <c r="V145" s="998"/>
      <c r="W145" s="998"/>
      <c r="X145" s="1000"/>
      <c r="Y145" s="1000"/>
      <c r="Z145" s="1000"/>
      <c r="AA145" s="1000"/>
      <c r="AB145" s="1000"/>
      <c r="AC145" s="1000"/>
      <c r="AD145" s="1000"/>
      <c r="AE145" s="1000"/>
      <c r="AF145" s="1000"/>
      <c r="AG145" s="1000"/>
      <c r="AH145" s="1000"/>
      <c r="AI145" s="972"/>
      <c r="AJ145" s="1052"/>
      <c r="AK145" s="1052"/>
      <c r="AL145" s="1053"/>
      <c r="AM145" s="1220"/>
      <c r="AN145" s="1054"/>
      <c r="AO145" s="972"/>
      <c r="AP145" s="972"/>
      <c r="AQ145" s="1221"/>
      <c r="AR145" s="1053"/>
      <c r="AS145" s="1220"/>
      <c r="AT145" s="1053"/>
      <c r="AU145" s="1055"/>
      <c r="AV145" s="972"/>
      <c r="AW145" s="972"/>
      <c r="AX145" s="972"/>
      <c r="AY145" s="1056"/>
      <c r="AZ145" s="1056"/>
      <c r="BA145" s="1056"/>
      <c r="BB145" s="1056"/>
      <c r="BC145" s="1056"/>
      <c r="BD145" s="1056"/>
      <c r="BE145" s="1056"/>
      <c r="BF145" s="1056"/>
      <c r="BG145" s="1056"/>
      <c r="BH145" s="1056"/>
      <c r="BI145" s="1056"/>
      <c r="BJ145" s="1056"/>
      <c r="BK145" s="1056"/>
      <c r="BL145" s="1056"/>
      <c r="BM145" s="1056"/>
      <c r="BN145" s="1056"/>
      <c r="BO145" s="1056"/>
      <c r="BP145" s="1056"/>
      <c r="BQ145" s="1056"/>
      <c r="BR145" s="1056"/>
      <c r="BS145" s="1056"/>
      <c r="BT145" s="1056"/>
      <c r="BU145" s="1056"/>
      <c r="BV145" s="1056"/>
      <c r="BW145" s="1056"/>
      <c r="BX145" s="1056"/>
      <c r="BY145" s="1056"/>
      <c r="BZ145" s="1056"/>
      <c r="CA145" s="1056"/>
      <c r="CB145" s="1056"/>
      <c r="CC145" s="1056"/>
      <c r="CD145" s="1056"/>
      <c r="CE145" s="1056"/>
      <c r="CF145" s="1056"/>
      <c r="CG145" s="1056"/>
      <c r="CH145" s="1056"/>
      <c r="CI145" s="1056"/>
      <c r="CJ145" s="1056"/>
      <c r="CK145" s="1056"/>
      <c r="CL145" s="1056"/>
      <c r="CM145" s="1056"/>
      <c r="CN145" s="1056"/>
      <c r="CO145" s="1056"/>
      <c r="CP145" s="1056"/>
      <c r="CQ145" s="1056"/>
      <c r="CR145" s="1056"/>
      <c r="CS145" s="1056"/>
      <c r="CT145" s="1056"/>
      <c r="CU145" s="1056"/>
      <c r="CV145" s="1056"/>
      <c r="CW145" s="1056"/>
      <c r="CX145" s="1056"/>
      <c r="CY145" s="1056"/>
      <c r="CZ145" s="1056"/>
      <c r="DA145" s="1056"/>
      <c r="DB145" s="1056"/>
      <c r="DC145" s="1056"/>
      <c r="DD145" s="1056"/>
      <c r="DE145" s="1056"/>
      <c r="DF145" s="1056"/>
      <c r="DG145" s="1056"/>
      <c r="DH145" s="1056"/>
      <c r="DI145" s="1056"/>
      <c r="DJ145" s="1056"/>
      <c r="DK145" s="1056"/>
      <c r="DL145" s="1056"/>
      <c r="DM145" s="1056"/>
      <c r="DN145" s="1056"/>
      <c r="DO145" s="1056"/>
      <c r="DP145" s="1056"/>
      <c r="DQ145" s="1056"/>
      <c r="DR145" s="1056"/>
      <c r="DS145" s="1056"/>
      <c r="DT145" s="1056"/>
      <c r="DU145" s="1056"/>
      <c r="DV145" s="1056"/>
      <c r="DW145" s="1056"/>
      <c r="DX145" s="1056"/>
      <c r="DY145" s="1056"/>
      <c r="DZ145" s="1056"/>
      <c r="EA145" s="1056"/>
      <c r="EB145" s="1056"/>
      <c r="EC145" s="1056"/>
      <c r="ED145" s="1056"/>
      <c r="EE145" s="1056"/>
      <c r="EF145" s="1056"/>
      <c r="EG145" s="1056"/>
      <c r="EH145" s="1056"/>
      <c r="EI145" s="1056"/>
      <c r="EJ145" s="1056"/>
      <c r="EK145" s="1056"/>
      <c r="EL145" s="1056"/>
      <c r="EM145" s="1056"/>
      <c r="EN145" s="1279"/>
      <c r="EO145" s="1279"/>
    </row>
    <row r="146" spans="1:145" ht="15">
      <c r="A146" s="760" t="s">
        <v>1918</v>
      </c>
      <c r="B146" s="763"/>
      <c r="C146" s="1103"/>
      <c r="D146" s="1103"/>
      <c r="E146" s="995"/>
      <c r="F146" s="995"/>
      <c r="G146" s="996"/>
      <c r="H146" s="996"/>
      <c r="I146" s="996"/>
      <c r="J146" s="996"/>
      <c r="K146" s="1264">
        <v>16629400</v>
      </c>
      <c r="L146" s="1217"/>
      <c r="M146" s="1104"/>
      <c r="N146" s="997"/>
      <c r="O146" s="997"/>
      <c r="P146" s="998"/>
      <c r="Q146" s="998"/>
      <c r="R146" s="999"/>
      <c r="S146" s="998"/>
      <c r="T146" s="998"/>
      <c r="U146" s="998"/>
      <c r="V146" s="998"/>
      <c r="W146" s="998"/>
      <c r="X146" s="1000"/>
      <c r="Y146" s="1000"/>
      <c r="Z146" s="1000"/>
      <c r="AA146" s="1000"/>
      <c r="AB146" s="1000"/>
      <c r="AC146" s="1000"/>
      <c r="AD146" s="1000"/>
      <c r="AE146" s="1000"/>
      <c r="AF146" s="1000"/>
      <c r="AG146" s="1000"/>
      <c r="AH146" s="1000"/>
      <c r="AI146" s="972"/>
      <c r="AJ146" s="1052"/>
      <c r="AK146" s="1052"/>
      <c r="AL146" s="1053"/>
      <c r="AM146" s="1220"/>
      <c r="AN146" s="1054"/>
      <c r="AO146" s="972"/>
      <c r="AP146" s="972"/>
      <c r="AQ146" s="1221"/>
      <c r="AR146" s="1053"/>
      <c r="AS146" s="1220"/>
      <c r="AT146" s="1053"/>
      <c r="AU146" s="1055"/>
      <c r="AV146" s="972"/>
      <c r="AW146" s="972"/>
      <c r="AX146" s="972"/>
      <c r="AY146" s="1056"/>
      <c r="AZ146" s="1056"/>
      <c r="BA146" s="1056"/>
      <c r="BB146" s="1056"/>
      <c r="BC146" s="1056"/>
      <c r="BD146" s="1056"/>
      <c r="BE146" s="1056"/>
      <c r="BF146" s="1056"/>
      <c r="BG146" s="1056"/>
      <c r="BH146" s="1056"/>
      <c r="BI146" s="1056"/>
      <c r="BJ146" s="1056"/>
      <c r="BK146" s="1056"/>
      <c r="BL146" s="1056"/>
      <c r="BM146" s="1056"/>
      <c r="BN146" s="1056"/>
      <c r="BO146" s="1056"/>
      <c r="BP146" s="1056"/>
      <c r="BQ146" s="1056"/>
      <c r="BR146" s="1056"/>
      <c r="BS146" s="1056"/>
      <c r="BT146" s="1056"/>
      <c r="BU146" s="1056"/>
      <c r="BV146" s="1056"/>
      <c r="BW146" s="1056"/>
      <c r="BX146" s="1056"/>
      <c r="BY146" s="1056"/>
      <c r="BZ146" s="1056"/>
      <c r="CA146" s="1056"/>
      <c r="CB146" s="1056"/>
      <c r="CC146" s="1056"/>
      <c r="CD146" s="1056"/>
      <c r="CE146" s="1056"/>
      <c r="CF146" s="1056"/>
      <c r="CG146" s="1056"/>
      <c r="CH146" s="1056"/>
      <c r="CI146" s="1056"/>
      <c r="CJ146" s="1056"/>
      <c r="CK146" s="1056"/>
      <c r="CL146" s="1056"/>
      <c r="CM146" s="1056"/>
      <c r="CN146" s="1056"/>
      <c r="CO146" s="1056"/>
      <c r="CP146" s="1056"/>
      <c r="CQ146" s="1056"/>
      <c r="CR146" s="1056"/>
      <c r="CS146" s="1056"/>
      <c r="CT146" s="1056"/>
      <c r="CU146" s="1056"/>
      <c r="CV146" s="1056"/>
      <c r="CW146" s="1056"/>
      <c r="CX146" s="1056"/>
      <c r="CY146" s="1056"/>
      <c r="CZ146" s="1056"/>
      <c r="DA146" s="1056"/>
      <c r="DB146" s="1056"/>
      <c r="DC146" s="1056"/>
      <c r="DD146" s="1056"/>
      <c r="DE146" s="1056"/>
      <c r="DF146" s="1056"/>
      <c r="DG146" s="1056"/>
      <c r="DH146" s="1056"/>
      <c r="DI146" s="1056"/>
      <c r="DJ146" s="1056"/>
      <c r="DK146" s="1056"/>
      <c r="DL146" s="1056"/>
      <c r="DM146" s="1056"/>
      <c r="DN146" s="1056"/>
      <c r="DO146" s="1056"/>
      <c r="DP146" s="1056"/>
      <c r="DQ146" s="1056"/>
      <c r="DR146" s="1056"/>
      <c r="DS146" s="1056"/>
      <c r="DT146" s="1056"/>
      <c r="DU146" s="1056"/>
      <c r="DV146" s="1056"/>
      <c r="DW146" s="1056"/>
      <c r="DX146" s="1056"/>
      <c r="DY146" s="1056"/>
      <c r="DZ146" s="1056"/>
      <c r="EA146" s="1056"/>
      <c r="EB146" s="1056"/>
      <c r="EC146" s="1056"/>
      <c r="ED146" s="1056"/>
      <c r="EE146" s="1056"/>
      <c r="EF146" s="1056"/>
      <c r="EG146" s="1056"/>
      <c r="EH146" s="1056"/>
      <c r="EI146" s="1056"/>
      <c r="EJ146" s="1056"/>
      <c r="EK146" s="1056"/>
      <c r="EL146" s="1056"/>
      <c r="EM146" s="1056"/>
      <c r="EN146" s="1279"/>
      <c r="EO146" s="1279"/>
    </row>
    <row r="147" spans="1:145" ht="18" customHeight="1">
      <c r="A147" s="1258" t="s">
        <v>1924</v>
      </c>
      <c r="B147" s="1259"/>
      <c r="C147" s="1103"/>
      <c r="D147" s="1103"/>
      <c r="E147" s="995"/>
      <c r="F147" s="995"/>
      <c r="G147" s="996"/>
      <c r="H147" s="996"/>
      <c r="I147" s="996"/>
      <c r="J147" s="996"/>
      <c r="K147" s="1264">
        <v>80000</v>
      </c>
      <c r="L147" s="1217"/>
      <c r="M147" s="1104"/>
      <c r="N147" s="997"/>
      <c r="O147" s="997"/>
      <c r="P147" s="998"/>
      <c r="Q147" s="998"/>
      <c r="R147" s="999"/>
      <c r="S147" s="998"/>
      <c r="T147" s="998"/>
      <c r="U147" s="998"/>
      <c r="V147" s="998"/>
      <c r="W147" s="998"/>
      <c r="X147" s="1000"/>
      <c r="Y147" s="1000"/>
      <c r="Z147" s="1000"/>
      <c r="AA147" s="1000"/>
      <c r="AB147" s="1000"/>
      <c r="AC147" s="1000"/>
      <c r="AD147" s="1000"/>
      <c r="AE147" s="1000"/>
      <c r="AF147" s="1000"/>
      <c r="AG147" s="1000"/>
      <c r="AH147" s="1000"/>
      <c r="AI147" s="972"/>
      <c r="AJ147" s="1052"/>
      <c r="AK147" s="1052"/>
      <c r="AL147" s="1053"/>
      <c r="AM147" s="1220"/>
      <c r="AN147" s="1054"/>
      <c r="AO147" s="972"/>
      <c r="AP147" s="972"/>
      <c r="AQ147" s="1221"/>
      <c r="AR147" s="1053"/>
      <c r="AS147" s="1220"/>
      <c r="AT147" s="1053"/>
      <c r="AU147" s="1055"/>
      <c r="AV147" s="972"/>
      <c r="AW147" s="972"/>
      <c r="AX147" s="972"/>
      <c r="AY147" s="1056"/>
      <c r="AZ147" s="1056"/>
      <c r="BA147" s="1056"/>
      <c r="BB147" s="1056"/>
      <c r="BC147" s="1056"/>
      <c r="BD147" s="1056"/>
      <c r="BE147" s="1056"/>
      <c r="BF147" s="1056"/>
      <c r="BG147" s="1056"/>
      <c r="BH147" s="1056"/>
      <c r="BI147" s="1056"/>
      <c r="BJ147" s="1056"/>
      <c r="BK147" s="1056"/>
      <c r="BL147" s="1056"/>
      <c r="BM147" s="1056"/>
      <c r="BN147" s="1056"/>
      <c r="BO147" s="1056"/>
      <c r="BP147" s="1056"/>
      <c r="BQ147" s="1056"/>
      <c r="BR147" s="1056"/>
      <c r="BS147" s="1056"/>
      <c r="BT147" s="1056"/>
      <c r="BU147" s="1056"/>
      <c r="BV147" s="1056"/>
      <c r="BW147" s="1056"/>
      <c r="BX147" s="1056"/>
      <c r="BY147" s="1056"/>
      <c r="BZ147" s="1056"/>
      <c r="CA147" s="1056"/>
      <c r="CB147" s="1056"/>
      <c r="CC147" s="1056"/>
      <c r="CD147" s="1056"/>
      <c r="CE147" s="1056"/>
      <c r="CF147" s="1056"/>
      <c r="CG147" s="1056"/>
      <c r="CH147" s="1056"/>
      <c r="CI147" s="1056"/>
      <c r="CJ147" s="1056"/>
      <c r="CK147" s="1056"/>
      <c r="CL147" s="1056"/>
      <c r="CM147" s="1056"/>
      <c r="CN147" s="1056"/>
      <c r="CO147" s="1056"/>
      <c r="CP147" s="1056"/>
      <c r="CQ147" s="1056"/>
      <c r="CR147" s="1056"/>
      <c r="CS147" s="1056"/>
      <c r="CT147" s="1056"/>
      <c r="CU147" s="1056"/>
      <c r="CV147" s="1056"/>
      <c r="CW147" s="1056"/>
      <c r="CX147" s="1056"/>
      <c r="CY147" s="1056"/>
      <c r="CZ147" s="1056"/>
      <c r="DA147" s="1056"/>
      <c r="DB147" s="1056"/>
      <c r="DC147" s="1056"/>
      <c r="DD147" s="1056"/>
      <c r="DE147" s="1056"/>
      <c r="DF147" s="1056"/>
      <c r="DG147" s="1056"/>
      <c r="DH147" s="1056"/>
      <c r="DI147" s="1056"/>
      <c r="DJ147" s="1056"/>
      <c r="DK147" s="1056"/>
      <c r="DL147" s="1056"/>
      <c r="DM147" s="1056"/>
      <c r="DN147" s="1056"/>
      <c r="DO147" s="1056"/>
      <c r="DP147" s="1056"/>
      <c r="DQ147" s="1056"/>
      <c r="DR147" s="1056"/>
      <c r="DS147" s="1056"/>
      <c r="DT147" s="1056"/>
      <c r="DU147" s="1056"/>
      <c r="DV147" s="1056"/>
      <c r="DW147" s="1056"/>
      <c r="DX147" s="1056"/>
      <c r="DY147" s="1056"/>
      <c r="DZ147" s="1056"/>
      <c r="EA147" s="1056"/>
      <c r="EB147" s="1056"/>
      <c r="EC147" s="1056"/>
      <c r="ED147" s="1056"/>
      <c r="EE147" s="1056"/>
      <c r="EF147" s="1056"/>
      <c r="EG147" s="1056"/>
      <c r="EH147" s="1056"/>
      <c r="EI147" s="1056"/>
      <c r="EJ147" s="1056"/>
      <c r="EK147" s="1056"/>
      <c r="EL147" s="1056"/>
      <c r="EM147" s="1056"/>
      <c r="EN147" s="1279"/>
      <c r="EO147" s="1279"/>
    </row>
    <row r="148" spans="1:145" ht="16.5" customHeight="1">
      <c r="A148" s="1258" t="s">
        <v>1273</v>
      </c>
      <c r="B148" s="1260" t="s">
        <v>1277</v>
      </c>
      <c r="C148" s="1103"/>
      <c r="D148" s="1103"/>
      <c r="E148" s="995"/>
      <c r="F148" s="995"/>
      <c r="G148" s="996"/>
      <c r="H148" s="996"/>
      <c r="I148" s="996"/>
      <c r="J148" s="996"/>
      <c r="K148" s="1264">
        <v>642000</v>
      </c>
      <c r="L148" s="1217"/>
      <c r="M148" s="1104"/>
      <c r="N148" s="997"/>
      <c r="O148" s="997"/>
      <c r="P148" s="998"/>
      <c r="Q148" s="998"/>
      <c r="R148" s="999"/>
      <c r="S148" s="998"/>
      <c r="T148" s="998"/>
      <c r="U148" s="998"/>
      <c r="V148" s="998"/>
      <c r="W148" s="998"/>
      <c r="X148" s="1000"/>
      <c r="Y148" s="1000"/>
      <c r="Z148" s="1000"/>
      <c r="AA148" s="1000"/>
      <c r="AB148" s="1000"/>
      <c r="AC148" s="1000"/>
      <c r="AD148" s="1000"/>
      <c r="AE148" s="1000"/>
      <c r="AF148" s="1000"/>
      <c r="AG148" s="1000"/>
      <c r="AH148" s="1000"/>
      <c r="AI148" s="972"/>
      <c r="AJ148" s="1052"/>
      <c r="AK148" s="1052"/>
      <c r="AL148" s="1053"/>
      <c r="AM148" s="1220"/>
      <c r="AN148" s="1054"/>
      <c r="AO148" s="972"/>
      <c r="AP148" s="972"/>
      <c r="AQ148" s="1221"/>
      <c r="AR148" s="1053"/>
      <c r="AS148" s="1220"/>
      <c r="AT148" s="1053"/>
      <c r="AU148" s="1055"/>
      <c r="AV148" s="972"/>
      <c r="AW148" s="972"/>
      <c r="AX148" s="972"/>
      <c r="AY148" s="1056"/>
      <c r="AZ148" s="1056"/>
      <c r="BA148" s="1056"/>
      <c r="BB148" s="1056"/>
      <c r="BC148" s="1056"/>
      <c r="BD148" s="1056"/>
      <c r="BE148" s="1056"/>
      <c r="BF148" s="1056"/>
      <c r="BG148" s="1056"/>
      <c r="BH148" s="1056"/>
      <c r="BI148" s="1056"/>
      <c r="BJ148" s="1056"/>
      <c r="BK148" s="1056"/>
      <c r="BL148" s="1056"/>
      <c r="BM148" s="1056"/>
      <c r="BN148" s="1056"/>
      <c r="BO148" s="1056"/>
      <c r="BP148" s="1056"/>
      <c r="BQ148" s="1056"/>
      <c r="BR148" s="1056"/>
      <c r="BS148" s="1056"/>
      <c r="BT148" s="1056"/>
      <c r="BU148" s="1056"/>
      <c r="BV148" s="1056"/>
      <c r="BW148" s="1056"/>
      <c r="BX148" s="1056"/>
      <c r="BY148" s="1056"/>
      <c r="BZ148" s="1056"/>
      <c r="CA148" s="1056"/>
      <c r="CB148" s="1056"/>
      <c r="CC148" s="1056"/>
      <c r="CD148" s="1056"/>
      <c r="CE148" s="1056"/>
      <c r="CF148" s="1056"/>
      <c r="CG148" s="1056"/>
      <c r="CH148" s="1056"/>
      <c r="CI148" s="1056"/>
      <c r="CJ148" s="1056"/>
      <c r="CK148" s="1056"/>
      <c r="CL148" s="1056"/>
      <c r="CM148" s="1056"/>
      <c r="CN148" s="1056"/>
      <c r="CO148" s="1056"/>
      <c r="CP148" s="1056"/>
      <c r="CQ148" s="1056"/>
      <c r="CR148" s="1056"/>
      <c r="CS148" s="1056"/>
      <c r="CT148" s="1056"/>
      <c r="CU148" s="1056"/>
      <c r="CV148" s="1056"/>
      <c r="CW148" s="1056"/>
      <c r="CX148" s="1056"/>
      <c r="CY148" s="1056"/>
      <c r="CZ148" s="1056"/>
      <c r="DA148" s="1056"/>
      <c r="DB148" s="1056"/>
      <c r="DC148" s="1056"/>
      <c r="DD148" s="1056"/>
      <c r="DE148" s="1056"/>
      <c r="DF148" s="1056"/>
      <c r="DG148" s="1056"/>
      <c r="DH148" s="1056"/>
      <c r="DI148" s="1056"/>
      <c r="DJ148" s="1056"/>
      <c r="DK148" s="1056"/>
      <c r="DL148" s="1056"/>
      <c r="DM148" s="1056"/>
      <c r="DN148" s="1056"/>
      <c r="DO148" s="1056"/>
      <c r="DP148" s="1056"/>
      <c r="DQ148" s="1056"/>
      <c r="DR148" s="1056"/>
      <c r="DS148" s="1056"/>
      <c r="DT148" s="1056"/>
      <c r="DU148" s="1056"/>
      <c r="DV148" s="1056"/>
      <c r="DW148" s="1056"/>
      <c r="DX148" s="1056"/>
      <c r="DY148" s="1056"/>
      <c r="DZ148" s="1056"/>
      <c r="EA148" s="1056"/>
      <c r="EB148" s="1056"/>
      <c r="EC148" s="1056"/>
      <c r="ED148" s="1056"/>
      <c r="EE148" s="1056"/>
      <c r="EF148" s="1056"/>
      <c r="EG148" s="1056"/>
      <c r="EH148" s="1056"/>
      <c r="EI148" s="1056"/>
      <c r="EJ148" s="1056"/>
      <c r="EK148" s="1056"/>
      <c r="EL148" s="1056"/>
      <c r="EM148" s="1056"/>
      <c r="EN148" s="1279"/>
      <c r="EO148" s="1279"/>
    </row>
    <row r="149" spans="1:145" ht="16.5" customHeight="1">
      <c r="A149" s="1258" t="s">
        <v>1919</v>
      </c>
      <c r="B149" s="1260"/>
      <c r="C149" s="1103"/>
      <c r="D149" s="1103"/>
      <c r="E149" s="995"/>
      <c r="F149" s="995"/>
      <c r="G149" s="996"/>
      <c r="H149" s="996"/>
      <c r="I149" s="996"/>
      <c r="J149" s="996"/>
      <c r="K149" s="1264">
        <v>4550000</v>
      </c>
      <c r="L149" s="1217"/>
      <c r="M149" s="1104"/>
      <c r="N149" s="997"/>
      <c r="O149" s="997"/>
      <c r="P149" s="998"/>
      <c r="Q149" s="998"/>
      <c r="R149" s="999"/>
      <c r="S149" s="998"/>
      <c r="T149" s="998"/>
      <c r="U149" s="998"/>
      <c r="V149" s="998"/>
      <c r="W149" s="998"/>
      <c r="X149" s="1000"/>
      <c r="Y149" s="1000"/>
      <c r="Z149" s="1000"/>
      <c r="AA149" s="1000"/>
      <c r="AB149" s="1000"/>
      <c r="AC149" s="1000"/>
      <c r="AD149" s="1000"/>
      <c r="AE149" s="1000"/>
      <c r="AF149" s="1000"/>
      <c r="AG149" s="1000"/>
      <c r="AH149" s="1000"/>
      <c r="AI149" s="972"/>
      <c r="AJ149" s="1052"/>
      <c r="AK149" s="1052"/>
      <c r="AL149" s="1053"/>
      <c r="AM149" s="1220"/>
      <c r="AN149" s="1054"/>
      <c r="AO149" s="972"/>
      <c r="AP149" s="972"/>
      <c r="AQ149" s="1221"/>
      <c r="AR149" s="1053"/>
      <c r="AS149" s="1220"/>
      <c r="AT149" s="1053"/>
      <c r="AU149" s="1055"/>
      <c r="AV149" s="972"/>
      <c r="AW149" s="972"/>
      <c r="AX149" s="972"/>
      <c r="AY149" s="1056"/>
      <c r="AZ149" s="1056"/>
      <c r="BA149" s="1056"/>
      <c r="BB149" s="1056"/>
      <c r="BC149" s="1056"/>
      <c r="BD149" s="1056"/>
      <c r="BE149" s="1056"/>
      <c r="BF149" s="1056"/>
      <c r="BG149" s="1056"/>
      <c r="BH149" s="1056"/>
      <c r="BI149" s="1056"/>
      <c r="BJ149" s="1056"/>
      <c r="BK149" s="1056"/>
      <c r="BL149" s="1056"/>
      <c r="BM149" s="1056"/>
      <c r="BN149" s="1056"/>
      <c r="BO149" s="1056"/>
      <c r="BP149" s="1056"/>
      <c r="BQ149" s="1056"/>
      <c r="BR149" s="1056"/>
      <c r="BS149" s="1056"/>
      <c r="BT149" s="1056"/>
      <c r="BU149" s="1056"/>
      <c r="BV149" s="1056"/>
      <c r="BW149" s="1056"/>
      <c r="BX149" s="1056"/>
      <c r="BY149" s="1056"/>
      <c r="BZ149" s="1056"/>
      <c r="CA149" s="1056"/>
      <c r="CB149" s="1056"/>
      <c r="CC149" s="1056"/>
      <c r="CD149" s="1056"/>
      <c r="CE149" s="1056"/>
      <c r="CF149" s="1056"/>
      <c r="CG149" s="1056"/>
      <c r="CH149" s="1056"/>
      <c r="CI149" s="1056"/>
      <c r="CJ149" s="1056"/>
      <c r="CK149" s="1056"/>
      <c r="CL149" s="1056"/>
      <c r="CM149" s="1056"/>
      <c r="CN149" s="1056"/>
      <c r="CO149" s="1056"/>
      <c r="CP149" s="1056"/>
      <c r="CQ149" s="1056"/>
      <c r="CR149" s="1056"/>
      <c r="CS149" s="1056"/>
      <c r="CT149" s="1056"/>
      <c r="CU149" s="1056"/>
      <c r="CV149" s="1056"/>
      <c r="CW149" s="1056"/>
      <c r="CX149" s="1056"/>
      <c r="CY149" s="1056"/>
      <c r="CZ149" s="1056"/>
      <c r="DA149" s="1056"/>
      <c r="DB149" s="1056"/>
      <c r="DC149" s="1056"/>
      <c r="DD149" s="1056"/>
      <c r="DE149" s="1056"/>
      <c r="DF149" s="1056"/>
      <c r="DG149" s="1056"/>
      <c r="DH149" s="1056"/>
      <c r="DI149" s="1056"/>
      <c r="DJ149" s="1056"/>
      <c r="DK149" s="1056"/>
      <c r="DL149" s="1056"/>
      <c r="DM149" s="1056"/>
      <c r="DN149" s="1056"/>
      <c r="DO149" s="1056"/>
      <c r="DP149" s="1056"/>
      <c r="DQ149" s="1056"/>
      <c r="DR149" s="1056"/>
      <c r="DS149" s="1056"/>
      <c r="DT149" s="1056"/>
      <c r="DU149" s="1056"/>
      <c r="DV149" s="1056"/>
      <c r="DW149" s="1056"/>
      <c r="DX149" s="1056"/>
      <c r="DY149" s="1056"/>
      <c r="DZ149" s="1056"/>
      <c r="EA149" s="1056"/>
      <c r="EB149" s="1056"/>
      <c r="EC149" s="1056"/>
      <c r="ED149" s="1056"/>
      <c r="EE149" s="1056"/>
      <c r="EF149" s="1056"/>
      <c r="EG149" s="1056"/>
      <c r="EH149" s="1056"/>
      <c r="EI149" s="1056"/>
      <c r="EJ149" s="1056"/>
      <c r="EK149" s="1056"/>
      <c r="EL149" s="1056"/>
      <c r="EM149" s="1056"/>
      <c r="EN149" s="1279"/>
      <c r="EO149" s="1279"/>
    </row>
    <row r="150" spans="1:145" ht="15" customHeight="1">
      <c r="A150" s="1258" t="s">
        <v>1274</v>
      </c>
      <c r="B150" s="1259" t="s">
        <v>1278</v>
      </c>
      <c r="C150" s="1103"/>
      <c r="D150" s="1103"/>
      <c r="E150" s="995"/>
      <c r="F150" s="995"/>
      <c r="G150" s="996"/>
      <c r="H150" s="996"/>
      <c r="I150" s="996"/>
      <c r="J150" s="996"/>
      <c r="K150" s="1264">
        <v>15750</v>
      </c>
      <c r="L150" s="1217"/>
      <c r="M150" s="1104"/>
      <c r="N150" s="997"/>
      <c r="O150" s="997"/>
      <c r="P150" s="998"/>
      <c r="Q150" s="998"/>
      <c r="R150" s="999"/>
      <c r="S150" s="998"/>
      <c r="T150" s="998"/>
      <c r="U150" s="998"/>
      <c r="V150" s="998"/>
      <c r="W150" s="998"/>
      <c r="X150" s="1000"/>
      <c r="Y150" s="1000"/>
      <c r="Z150" s="1000"/>
      <c r="AA150" s="1000"/>
      <c r="AB150" s="1000"/>
      <c r="AC150" s="1000"/>
      <c r="AD150" s="1000"/>
      <c r="AE150" s="1000"/>
      <c r="AF150" s="1000"/>
      <c r="AG150" s="1000"/>
      <c r="AH150" s="1000"/>
      <c r="AI150" s="972"/>
      <c r="AJ150" s="1052"/>
      <c r="AK150" s="1052"/>
      <c r="AL150" s="1053"/>
      <c r="AM150" s="1220"/>
      <c r="AN150" s="1054"/>
      <c r="AO150" s="972"/>
      <c r="AP150" s="972"/>
      <c r="AQ150" s="1221"/>
      <c r="AR150" s="1053"/>
      <c r="AS150" s="1220"/>
      <c r="AT150" s="1053"/>
      <c r="AU150" s="1055"/>
      <c r="AV150" s="972"/>
      <c r="AW150" s="972"/>
      <c r="AX150" s="972"/>
      <c r="AY150" s="1056"/>
      <c r="AZ150" s="1056"/>
      <c r="BA150" s="1056"/>
      <c r="BB150" s="1056"/>
      <c r="BC150" s="1056"/>
      <c r="BD150" s="1056"/>
      <c r="BE150" s="1056"/>
      <c r="BF150" s="1056"/>
      <c r="BG150" s="1056"/>
      <c r="BH150" s="1056"/>
      <c r="BI150" s="1056"/>
      <c r="BJ150" s="1056"/>
      <c r="BK150" s="1056"/>
      <c r="BL150" s="1056"/>
      <c r="BM150" s="1056"/>
      <c r="BN150" s="1056"/>
      <c r="BO150" s="1056"/>
      <c r="BP150" s="1056"/>
      <c r="BQ150" s="1056"/>
      <c r="BR150" s="1056"/>
      <c r="BS150" s="1056"/>
      <c r="BT150" s="1056"/>
      <c r="BU150" s="1056"/>
      <c r="BV150" s="1056"/>
      <c r="BW150" s="1056"/>
      <c r="BX150" s="1056"/>
      <c r="BY150" s="1056"/>
      <c r="BZ150" s="1056"/>
      <c r="CA150" s="1056"/>
      <c r="CB150" s="1056"/>
      <c r="CC150" s="1056"/>
      <c r="CD150" s="1056"/>
      <c r="CE150" s="1056"/>
      <c r="CF150" s="1056"/>
      <c r="CG150" s="1056"/>
      <c r="CH150" s="1056"/>
      <c r="CI150" s="1056"/>
      <c r="CJ150" s="1056"/>
      <c r="CK150" s="1056"/>
      <c r="CL150" s="1056"/>
      <c r="CM150" s="1056"/>
      <c r="CN150" s="1056"/>
      <c r="CO150" s="1056"/>
      <c r="CP150" s="1056"/>
      <c r="CQ150" s="1056"/>
      <c r="CR150" s="1056"/>
      <c r="CS150" s="1056"/>
      <c r="CT150" s="1056"/>
      <c r="CU150" s="1056"/>
      <c r="CV150" s="1056"/>
      <c r="CW150" s="1056"/>
      <c r="CX150" s="1056"/>
      <c r="CY150" s="1056"/>
      <c r="CZ150" s="1056"/>
      <c r="DA150" s="1056"/>
      <c r="DB150" s="1056"/>
      <c r="DC150" s="1056"/>
      <c r="DD150" s="1056"/>
      <c r="DE150" s="1056"/>
      <c r="DF150" s="1056"/>
      <c r="DG150" s="1056"/>
      <c r="DH150" s="1056"/>
      <c r="DI150" s="1056"/>
      <c r="DJ150" s="1056"/>
      <c r="DK150" s="1056"/>
      <c r="DL150" s="1056"/>
      <c r="DM150" s="1056"/>
      <c r="DN150" s="1056"/>
      <c r="DO150" s="1056"/>
      <c r="DP150" s="1056"/>
      <c r="DQ150" s="1056"/>
      <c r="DR150" s="1056"/>
      <c r="DS150" s="1056"/>
      <c r="DT150" s="1056"/>
      <c r="DU150" s="1056"/>
      <c r="DV150" s="1056"/>
      <c r="DW150" s="1056"/>
      <c r="DX150" s="1056"/>
      <c r="DY150" s="1056"/>
      <c r="DZ150" s="1056"/>
      <c r="EA150" s="1056"/>
      <c r="EB150" s="1056"/>
      <c r="EC150" s="1056"/>
      <c r="ED150" s="1056"/>
      <c r="EE150" s="1056"/>
      <c r="EF150" s="1056"/>
      <c r="EG150" s="1056"/>
      <c r="EH150" s="1056"/>
      <c r="EI150" s="1056"/>
      <c r="EJ150" s="1056"/>
      <c r="EK150" s="1056"/>
      <c r="EL150" s="1056"/>
      <c r="EM150" s="1056"/>
      <c r="EN150" s="1279"/>
      <c r="EO150" s="1279"/>
    </row>
    <row r="151" spans="1:145" ht="17.25" customHeight="1">
      <c r="A151" s="1258" t="s">
        <v>1914</v>
      </c>
      <c r="B151" s="1261" t="s">
        <v>1279</v>
      </c>
      <c r="C151" s="1103"/>
      <c r="D151" s="1103"/>
      <c r="E151" s="995"/>
      <c r="F151" s="995"/>
      <c r="G151" s="996"/>
      <c r="H151" s="996"/>
      <c r="I151" s="996"/>
      <c r="J151" s="996"/>
      <c r="K151" s="1264">
        <v>300000</v>
      </c>
      <c r="L151" s="1217"/>
      <c r="M151" s="1104"/>
      <c r="N151" s="997"/>
      <c r="O151" s="997"/>
      <c r="P151" s="998"/>
      <c r="Q151" s="998"/>
      <c r="R151" s="999"/>
      <c r="S151" s="998"/>
      <c r="T151" s="998"/>
      <c r="U151" s="998"/>
      <c r="V151" s="998"/>
      <c r="W151" s="998"/>
      <c r="X151" s="1000"/>
      <c r="Y151" s="1000"/>
      <c r="Z151" s="1000"/>
      <c r="AA151" s="1000"/>
      <c r="AB151" s="1000"/>
      <c r="AC151" s="1000"/>
      <c r="AD151" s="1000"/>
      <c r="AE151" s="1000"/>
      <c r="AF151" s="1000"/>
      <c r="AG151" s="1000"/>
      <c r="AH151" s="1000"/>
      <c r="AI151" s="972"/>
      <c r="AJ151" s="1052"/>
      <c r="AK151" s="1052"/>
      <c r="AL151" s="1053"/>
      <c r="AM151" s="1220"/>
      <c r="AN151" s="1054"/>
      <c r="AO151" s="972"/>
      <c r="AP151" s="972"/>
      <c r="AQ151" s="1221"/>
      <c r="AR151" s="1053"/>
      <c r="AS151" s="1220"/>
      <c r="AT151" s="1053"/>
      <c r="AU151" s="1055"/>
      <c r="AV151" s="972"/>
      <c r="AW151" s="972"/>
      <c r="AX151" s="972"/>
      <c r="AY151" s="1056"/>
      <c r="AZ151" s="1056"/>
      <c r="BA151" s="1056"/>
      <c r="BB151" s="1056"/>
      <c r="BC151" s="1056"/>
      <c r="BD151" s="1056"/>
      <c r="BE151" s="1056"/>
      <c r="BF151" s="1056"/>
      <c r="BG151" s="1056"/>
      <c r="BH151" s="1056"/>
      <c r="BI151" s="1056"/>
      <c r="BJ151" s="1056"/>
      <c r="BK151" s="1056"/>
      <c r="BL151" s="1056"/>
      <c r="BM151" s="1056"/>
      <c r="BN151" s="1056"/>
      <c r="BO151" s="1056"/>
      <c r="BP151" s="1056"/>
      <c r="BQ151" s="1056"/>
      <c r="BR151" s="1056"/>
      <c r="BS151" s="1056"/>
      <c r="BT151" s="1056"/>
      <c r="BU151" s="1056"/>
      <c r="BV151" s="1056"/>
      <c r="BW151" s="1056"/>
      <c r="BX151" s="1056"/>
      <c r="BY151" s="1056"/>
      <c r="BZ151" s="1056"/>
      <c r="CA151" s="1056"/>
      <c r="CB151" s="1056"/>
      <c r="CC151" s="1056"/>
      <c r="CD151" s="1056"/>
      <c r="CE151" s="1056"/>
      <c r="CF151" s="1056"/>
      <c r="CG151" s="1056"/>
      <c r="CH151" s="1056"/>
      <c r="CI151" s="1056"/>
      <c r="CJ151" s="1056"/>
      <c r="CK151" s="1056"/>
      <c r="CL151" s="1056"/>
      <c r="CM151" s="1056"/>
      <c r="CN151" s="1056"/>
      <c r="CO151" s="1056"/>
      <c r="CP151" s="1056"/>
      <c r="CQ151" s="1056"/>
      <c r="CR151" s="1056"/>
      <c r="CS151" s="1056"/>
      <c r="CT151" s="1056"/>
      <c r="CU151" s="1056"/>
      <c r="CV151" s="1056"/>
      <c r="CW151" s="1056"/>
      <c r="CX151" s="1056"/>
      <c r="CY151" s="1056"/>
      <c r="CZ151" s="1056"/>
      <c r="DA151" s="1056"/>
      <c r="DB151" s="1056"/>
      <c r="DC151" s="1056"/>
      <c r="DD151" s="1056"/>
      <c r="DE151" s="1056"/>
      <c r="DF151" s="1056"/>
      <c r="DG151" s="1056"/>
      <c r="DH151" s="1056"/>
      <c r="DI151" s="1056"/>
      <c r="DJ151" s="1056"/>
      <c r="DK151" s="1056"/>
      <c r="DL151" s="1056"/>
      <c r="DM151" s="1056"/>
      <c r="DN151" s="1056"/>
      <c r="DO151" s="1056"/>
      <c r="DP151" s="1056"/>
      <c r="DQ151" s="1056"/>
      <c r="DR151" s="1056"/>
      <c r="DS151" s="1056"/>
      <c r="DT151" s="1056"/>
      <c r="DU151" s="1056"/>
      <c r="DV151" s="1056"/>
      <c r="DW151" s="1056"/>
      <c r="DX151" s="1056"/>
      <c r="DY151" s="1056"/>
      <c r="DZ151" s="1056"/>
      <c r="EA151" s="1056"/>
      <c r="EB151" s="1056"/>
      <c r="EC151" s="1056"/>
      <c r="ED151" s="1056"/>
      <c r="EE151" s="1056"/>
      <c r="EF151" s="1056"/>
      <c r="EG151" s="1056"/>
      <c r="EH151" s="1056"/>
      <c r="EI151" s="1056"/>
      <c r="EJ151" s="1056"/>
      <c r="EK151" s="1056"/>
      <c r="EL151" s="1056"/>
      <c r="EM151" s="1056"/>
      <c r="EN151" s="1279"/>
      <c r="EO151" s="1279"/>
    </row>
    <row r="152" spans="1:145" ht="15" hidden="1">
      <c r="A152" s="1258" t="s">
        <v>1275</v>
      </c>
      <c r="B152" s="1259" t="s">
        <v>1280</v>
      </c>
      <c r="C152" s="1103"/>
      <c r="D152" s="1103"/>
      <c r="E152" s="995"/>
      <c r="F152" s="995"/>
      <c r="G152" s="996"/>
      <c r="H152" s="996"/>
      <c r="I152" s="996"/>
      <c r="J152" s="996"/>
      <c r="K152" s="1264">
        <v>61150</v>
      </c>
      <c r="L152" s="1217"/>
      <c r="M152" s="1104"/>
      <c r="N152" s="997"/>
      <c r="O152" s="997"/>
      <c r="P152" s="998"/>
      <c r="Q152" s="998"/>
      <c r="R152" s="999"/>
      <c r="S152" s="998"/>
      <c r="T152" s="998"/>
      <c r="U152" s="998"/>
      <c r="V152" s="998"/>
      <c r="W152" s="998"/>
      <c r="X152" s="1000"/>
      <c r="Y152" s="1000"/>
      <c r="Z152" s="1000"/>
      <c r="AA152" s="1000"/>
      <c r="AB152" s="1000"/>
      <c r="AC152" s="1000"/>
      <c r="AD152" s="1000"/>
      <c r="AE152" s="1000"/>
      <c r="AF152" s="1000"/>
      <c r="AG152" s="1000"/>
      <c r="AH152" s="1000"/>
      <c r="AI152" s="972"/>
      <c r="AJ152" s="1052"/>
      <c r="AK152" s="1052"/>
      <c r="AL152" s="1053"/>
      <c r="AM152" s="1220"/>
      <c r="AN152" s="1054"/>
      <c r="AO152" s="972"/>
      <c r="AP152" s="972"/>
      <c r="AQ152" s="1221"/>
      <c r="AR152" s="1053"/>
      <c r="AS152" s="1220"/>
      <c r="AT152" s="1053"/>
      <c r="AU152" s="1055"/>
      <c r="AV152" s="972"/>
      <c r="AW152" s="972"/>
      <c r="AX152" s="972"/>
      <c r="AY152" s="1056"/>
      <c r="AZ152" s="1056"/>
      <c r="BA152" s="1056"/>
      <c r="BB152" s="1056"/>
      <c r="BC152" s="1056"/>
      <c r="BD152" s="1056"/>
      <c r="BE152" s="1056"/>
      <c r="BF152" s="1056"/>
      <c r="BG152" s="1056"/>
      <c r="BH152" s="1056"/>
      <c r="BI152" s="1056"/>
      <c r="BJ152" s="1056"/>
      <c r="BK152" s="1056"/>
      <c r="BL152" s="1056"/>
      <c r="BM152" s="1056"/>
      <c r="BN152" s="1056"/>
      <c r="BO152" s="1056"/>
      <c r="BP152" s="1056"/>
      <c r="BQ152" s="1056"/>
      <c r="BR152" s="1056"/>
      <c r="BS152" s="1056"/>
      <c r="BT152" s="1056"/>
      <c r="BU152" s="1056"/>
      <c r="BV152" s="1056"/>
      <c r="BW152" s="1056"/>
      <c r="BX152" s="1056"/>
      <c r="BY152" s="1056"/>
      <c r="BZ152" s="1056"/>
      <c r="CA152" s="1056"/>
      <c r="CB152" s="1056"/>
      <c r="CC152" s="1056"/>
      <c r="CD152" s="1056"/>
      <c r="CE152" s="1056"/>
      <c r="CF152" s="1056"/>
      <c r="CG152" s="1056"/>
      <c r="CH152" s="1056"/>
      <c r="CI152" s="1056"/>
      <c r="CJ152" s="1056"/>
      <c r="CK152" s="1056"/>
      <c r="CL152" s="1056"/>
      <c r="CM152" s="1056"/>
      <c r="CN152" s="1056"/>
      <c r="CO152" s="1056"/>
      <c r="CP152" s="1056"/>
      <c r="CQ152" s="1056"/>
      <c r="CR152" s="1056"/>
      <c r="CS152" s="1056"/>
      <c r="CT152" s="1056"/>
      <c r="CU152" s="1056"/>
      <c r="CV152" s="1056"/>
      <c r="CW152" s="1056"/>
      <c r="CX152" s="1056"/>
      <c r="CY152" s="1056"/>
      <c r="CZ152" s="1056"/>
      <c r="DA152" s="1056"/>
      <c r="DB152" s="1056"/>
      <c r="DC152" s="1056"/>
      <c r="DD152" s="1056"/>
      <c r="DE152" s="1056"/>
      <c r="DF152" s="1056"/>
      <c r="DG152" s="1056"/>
      <c r="DH152" s="1056"/>
      <c r="DI152" s="1056"/>
      <c r="DJ152" s="1056"/>
      <c r="DK152" s="1056"/>
      <c r="DL152" s="1056"/>
      <c r="DM152" s="1056"/>
      <c r="DN152" s="1056"/>
      <c r="DO152" s="1056"/>
      <c r="DP152" s="1056"/>
      <c r="DQ152" s="1056"/>
      <c r="DR152" s="1056"/>
      <c r="DS152" s="1056"/>
      <c r="DT152" s="1056"/>
      <c r="DU152" s="1056"/>
      <c r="DV152" s="1056"/>
      <c r="DW152" s="1056"/>
      <c r="DX152" s="1056"/>
      <c r="DY152" s="1056"/>
      <c r="DZ152" s="1056"/>
      <c r="EA152" s="1056"/>
      <c r="EB152" s="1056"/>
      <c r="EC152" s="1056"/>
      <c r="ED152" s="1056"/>
      <c r="EE152" s="1056"/>
      <c r="EF152" s="1056"/>
      <c r="EG152" s="1056"/>
      <c r="EH152" s="1056"/>
      <c r="EI152" s="1056"/>
      <c r="EJ152" s="1056"/>
      <c r="EK152" s="1056"/>
      <c r="EL152" s="1056"/>
      <c r="EM152" s="1056"/>
      <c r="EN152" s="1279"/>
      <c r="EO152" s="1279"/>
    </row>
    <row r="153" spans="1:145" ht="30.75">
      <c r="A153" s="760" t="s">
        <v>1916</v>
      </c>
      <c r="B153" s="763"/>
      <c r="C153" s="1103"/>
      <c r="D153" s="1103"/>
      <c r="E153" s="995"/>
      <c r="F153" s="995"/>
      <c r="G153" s="996"/>
      <c r="H153" s="996"/>
      <c r="I153" s="996"/>
      <c r="J153" s="996"/>
      <c r="K153" s="1264">
        <v>7600000</v>
      </c>
      <c r="L153" s="1217"/>
      <c r="M153" s="1104"/>
      <c r="N153" s="997"/>
      <c r="O153" s="997"/>
      <c r="P153" s="998"/>
      <c r="Q153" s="998"/>
      <c r="R153" s="999"/>
      <c r="S153" s="998"/>
      <c r="T153" s="998"/>
      <c r="U153" s="998"/>
      <c r="V153" s="998"/>
      <c r="W153" s="998"/>
      <c r="X153" s="1000"/>
      <c r="Y153" s="1000"/>
      <c r="Z153" s="1000"/>
      <c r="AA153" s="1000"/>
      <c r="AB153" s="1000"/>
      <c r="AC153" s="1000"/>
      <c r="AD153" s="1000"/>
      <c r="AE153" s="1000"/>
      <c r="AF153" s="1000"/>
      <c r="AG153" s="1000"/>
      <c r="AH153" s="1000"/>
      <c r="AI153" s="972"/>
      <c r="AJ153" s="1052"/>
      <c r="AK153" s="1052"/>
      <c r="AL153" s="1053"/>
      <c r="AM153" s="1220"/>
      <c r="AN153" s="1054"/>
      <c r="AO153" s="972"/>
      <c r="AP153" s="972"/>
      <c r="AQ153" s="1221"/>
      <c r="AR153" s="1053"/>
      <c r="AS153" s="1220"/>
      <c r="AT153" s="1053"/>
      <c r="AU153" s="1055"/>
      <c r="AV153" s="972"/>
      <c r="AW153" s="972"/>
      <c r="AX153" s="972"/>
      <c r="AY153" s="1056"/>
      <c r="AZ153" s="1056"/>
      <c r="BA153" s="1056"/>
      <c r="BB153" s="1056"/>
      <c r="BC153" s="1056"/>
      <c r="BD153" s="1056"/>
      <c r="BE153" s="1056"/>
      <c r="BF153" s="1056"/>
      <c r="BG153" s="1056"/>
      <c r="BH153" s="1056"/>
      <c r="BI153" s="1056"/>
      <c r="BJ153" s="1056"/>
      <c r="BK153" s="1056"/>
      <c r="BL153" s="1056"/>
      <c r="BM153" s="1056"/>
      <c r="BN153" s="1056"/>
      <c r="BO153" s="1056"/>
      <c r="BP153" s="1056"/>
      <c r="BQ153" s="1056"/>
      <c r="BR153" s="1056"/>
      <c r="BS153" s="1056"/>
      <c r="BT153" s="1056"/>
      <c r="BU153" s="1056"/>
      <c r="BV153" s="1056"/>
      <c r="BW153" s="1056"/>
      <c r="BX153" s="1056"/>
      <c r="BY153" s="1056"/>
      <c r="BZ153" s="1056"/>
      <c r="CA153" s="1056"/>
      <c r="CB153" s="1056"/>
      <c r="CC153" s="1056"/>
      <c r="CD153" s="1056"/>
      <c r="CE153" s="1056"/>
      <c r="CF153" s="1056"/>
      <c r="CG153" s="1056"/>
      <c r="CH153" s="1056"/>
      <c r="CI153" s="1056"/>
      <c r="CJ153" s="1056"/>
      <c r="CK153" s="1056"/>
      <c r="CL153" s="1056"/>
      <c r="CM153" s="1056"/>
      <c r="CN153" s="1056"/>
      <c r="CO153" s="1056"/>
      <c r="CP153" s="1056"/>
      <c r="CQ153" s="1056"/>
      <c r="CR153" s="1056"/>
      <c r="CS153" s="1056"/>
      <c r="CT153" s="1056"/>
      <c r="CU153" s="1056"/>
      <c r="CV153" s="1056"/>
      <c r="CW153" s="1056"/>
      <c r="CX153" s="1056"/>
      <c r="CY153" s="1056"/>
      <c r="CZ153" s="1056"/>
      <c r="DA153" s="1056"/>
      <c r="DB153" s="1056"/>
      <c r="DC153" s="1056"/>
      <c r="DD153" s="1056"/>
      <c r="DE153" s="1056"/>
      <c r="DF153" s="1056"/>
      <c r="DG153" s="1056"/>
      <c r="DH153" s="1056"/>
      <c r="DI153" s="1056"/>
      <c r="DJ153" s="1056"/>
      <c r="DK153" s="1056"/>
      <c r="DL153" s="1056"/>
      <c r="DM153" s="1056"/>
      <c r="DN153" s="1056"/>
      <c r="DO153" s="1056"/>
      <c r="DP153" s="1056"/>
      <c r="DQ153" s="1056"/>
      <c r="DR153" s="1056"/>
      <c r="DS153" s="1056"/>
      <c r="DT153" s="1056"/>
      <c r="DU153" s="1056"/>
      <c r="DV153" s="1056"/>
      <c r="DW153" s="1056"/>
      <c r="DX153" s="1056"/>
      <c r="DY153" s="1056"/>
      <c r="DZ153" s="1056"/>
      <c r="EA153" s="1056"/>
      <c r="EB153" s="1056"/>
      <c r="EC153" s="1056"/>
      <c r="ED153" s="1056"/>
      <c r="EE153" s="1056"/>
      <c r="EF153" s="1056"/>
      <c r="EG153" s="1056"/>
      <c r="EH153" s="1056"/>
      <c r="EI153" s="1056"/>
      <c r="EJ153" s="1056"/>
      <c r="EK153" s="1056"/>
      <c r="EL153" s="1056"/>
      <c r="EM153" s="1056"/>
      <c r="EN153" s="1279"/>
      <c r="EO153" s="1279"/>
    </row>
    <row r="154" spans="1:145" ht="15">
      <c r="A154" s="760" t="s">
        <v>1921</v>
      </c>
      <c r="B154" s="763"/>
      <c r="C154" s="1103"/>
      <c r="D154" s="1103"/>
      <c r="E154" s="995"/>
      <c r="F154" s="995"/>
      <c r="G154" s="996"/>
      <c r="H154" s="996"/>
      <c r="I154" s="996"/>
      <c r="J154" s="996"/>
      <c r="K154" s="1264">
        <v>3502557</v>
      </c>
      <c r="L154" s="1217"/>
      <c r="M154" s="1104"/>
      <c r="N154" s="997"/>
      <c r="O154" s="997"/>
      <c r="P154" s="998"/>
      <c r="Q154" s="998"/>
      <c r="R154" s="999"/>
      <c r="S154" s="998"/>
      <c r="T154" s="998"/>
      <c r="U154" s="998"/>
      <c r="V154" s="998"/>
      <c r="W154" s="998"/>
      <c r="X154" s="1000"/>
      <c r="Y154" s="1000"/>
      <c r="Z154" s="1000"/>
      <c r="AA154" s="1000"/>
      <c r="AB154" s="1000"/>
      <c r="AC154" s="1000"/>
      <c r="AD154" s="1000"/>
      <c r="AE154" s="1000"/>
      <c r="AF154" s="1000"/>
      <c r="AG154" s="1000"/>
      <c r="AH154" s="1000"/>
      <c r="AI154" s="972"/>
      <c r="AJ154" s="1052"/>
      <c r="AK154" s="1052"/>
      <c r="AL154" s="1053"/>
      <c r="AM154" s="1220"/>
      <c r="AN154" s="1054"/>
      <c r="AO154" s="972"/>
      <c r="AP154" s="972"/>
      <c r="AQ154" s="1221"/>
      <c r="AR154" s="1053"/>
      <c r="AS154" s="1220"/>
      <c r="AT154" s="1053"/>
      <c r="AU154" s="1055"/>
      <c r="AV154" s="972"/>
      <c r="AW154" s="972"/>
      <c r="AX154" s="972"/>
      <c r="AY154" s="1056"/>
      <c r="AZ154" s="1056"/>
      <c r="BA154" s="1056"/>
      <c r="BB154" s="1056"/>
      <c r="BC154" s="1056"/>
      <c r="BD154" s="1056"/>
      <c r="BE154" s="1056"/>
      <c r="BF154" s="1056"/>
      <c r="BG154" s="1056"/>
      <c r="BH154" s="1056"/>
      <c r="BI154" s="1056"/>
      <c r="BJ154" s="1056"/>
      <c r="BK154" s="1056"/>
      <c r="BL154" s="1056"/>
      <c r="BM154" s="1056"/>
      <c r="BN154" s="1056"/>
      <c r="BO154" s="1056"/>
      <c r="BP154" s="1056"/>
      <c r="BQ154" s="1056"/>
      <c r="BR154" s="1056"/>
      <c r="BS154" s="1056"/>
      <c r="BT154" s="1056"/>
      <c r="BU154" s="1056"/>
      <c r="BV154" s="1056"/>
      <c r="BW154" s="1056"/>
      <c r="BX154" s="1056"/>
      <c r="BY154" s="1056"/>
      <c r="BZ154" s="1056"/>
      <c r="CA154" s="1056"/>
      <c r="CB154" s="1056"/>
      <c r="CC154" s="1056"/>
      <c r="CD154" s="1056"/>
      <c r="CE154" s="1056"/>
      <c r="CF154" s="1056"/>
      <c r="CG154" s="1056"/>
      <c r="CH154" s="1056"/>
      <c r="CI154" s="1056"/>
      <c r="CJ154" s="1056"/>
      <c r="CK154" s="1056"/>
      <c r="CL154" s="1056"/>
      <c r="CM154" s="1056"/>
      <c r="CN154" s="1056"/>
      <c r="CO154" s="1056"/>
      <c r="CP154" s="1056"/>
      <c r="CQ154" s="1056"/>
      <c r="CR154" s="1056"/>
      <c r="CS154" s="1056"/>
      <c r="CT154" s="1056"/>
      <c r="CU154" s="1056"/>
      <c r="CV154" s="1056"/>
      <c r="CW154" s="1056"/>
      <c r="CX154" s="1056"/>
      <c r="CY154" s="1056"/>
      <c r="CZ154" s="1056"/>
      <c r="DA154" s="1056"/>
      <c r="DB154" s="1056"/>
      <c r="DC154" s="1056"/>
      <c r="DD154" s="1056"/>
      <c r="DE154" s="1056"/>
      <c r="DF154" s="1056"/>
      <c r="DG154" s="1056"/>
      <c r="DH154" s="1056"/>
      <c r="DI154" s="1056"/>
      <c r="DJ154" s="1056"/>
      <c r="DK154" s="1056"/>
      <c r="DL154" s="1056"/>
      <c r="DM154" s="1056"/>
      <c r="DN154" s="1056"/>
      <c r="DO154" s="1056"/>
      <c r="DP154" s="1056"/>
      <c r="DQ154" s="1056"/>
      <c r="DR154" s="1056"/>
      <c r="DS154" s="1056"/>
      <c r="DT154" s="1056"/>
      <c r="DU154" s="1056"/>
      <c r="DV154" s="1056"/>
      <c r="DW154" s="1056"/>
      <c r="DX154" s="1056"/>
      <c r="DY154" s="1056"/>
      <c r="DZ154" s="1056"/>
      <c r="EA154" s="1056"/>
      <c r="EB154" s="1056"/>
      <c r="EC154" s="1056"/>
      <c r="ED154" s="1056"/>
      <c r="EE154" s="1056"/>
      <c r="EF154" s="1056"/>
      <c r="EG154" s="1056"/>
      <c r="EH154" s="1056"/>
      <c r="EI154" s="1056"/>
      <c r="EJ154" s="1056"/>
      <c r="EK154" s="1056"/>
      <c r="EL154" s="1056"/>
      <c r="EM154" s="1056"/>
      <c r="EN154" s="1279"/>
      <c r="EO154" s="1279"/>
    </row>
    <row r="155" spans="1:145" ht="15">
      <c r="A155" s="760" t="s">
        <v>910</v>
      </c>
      <c r="B155" s="763"/>
      <c r="C155" s="1103"/>
      <c r="D155" s="1103"/>
      <c r="E155" s="995"/>
      <c r="F155" s="995"/>
      <c r="G155" s="996"/>
      <c r="H155" s="996"/>
      <c r="I155" s="996"/>
      <c r="J155" s="996"/>
      <c r="K155" s="1264">
        <v>365000</v>
      </c>
      <c r="L155" s="1217"/>
      <c r="M155" s="1104"/>
      <c r="N155" s="997"/>
      <c r="O155" s="997"/>
      <c r="P155" s="998"/>
      <c r="Q155" s="998"/>
      <c r="R155" s="999"/>
      <c r="S155" s="998"/>
      <c r="T155" s="998"/>
      <c r="U155" s="998"/>
      <c r="V155" s="998"/>
      <c r="W155" s="998"/>
      <c r="X155" s="1000"/>
      <c r="Y155" s="1000"/>
      <c r="Z155" s="1000"/>
      <c r="AA155" s="1000"/>
      <c r="AB155" s="1000"/>
      <c r="AC155" s="1000"/>
      <c r="AD155" s="1000"/>
      <c r="AE155" s="1000"/>
      <c r="AF155" s="1000"/>
      <c r="AG155" s="1000"/>
      <c r="AH155" s="1000"/>
      <c r="AI155" s="972"/>
      <c r="AJ155" s="1052"/>
      <c r="AK155" s="1052"/>
      <c r="AL155" s="1053"/>
      <c r="AM155" s="1220"/>
      <c r="AN155" s="1054"/>
      <c r="AO155" s="972"/>
      <c r="AP155" s="972"/>
      <c r="AQ155" s="1221"/>
      <c r="AR155" s="1053"/>
      <c r="AS155" s="1220"/>
      <c r="AT155" s="1053"/>
      <c r="AU155" s="1055"/>
      <c r="AV155" s="972"/>
      <c r="AW155" s="972"/>
      <c r="AX155" s="972"/>
      <c r="AY155" s="1056"/>
      <c r="AZ155" s="1056"/>
      <c r="BA155" s="1056"/>
      <c r="BB155" s="1056"/>
      <c r="BC155" s="1056"/>
      <c r="BD155" s="1056"/>
      <c r="BE155" s="1056"/>
      <c r="BF155" s="1056"/>
      <c r="BG155" s="1056"/>
      <c r="BH155" s="1056"/>
      <c r="BI155" s="1056"/>
      <c r="BJ155" s="1056"/>
      <c r="BK155" s="1056"/>
      <c r="BL155" s="1056"/>
      <c r="BM155" s="1056"/>
      <c r="BN155" s="1056"/>
      <c r="BO155" s="1056"/>
      <c r="BP155" s="1056"/>
      <c r="BQ155" s="1056"/>
      <c r="BR155" s="1056"/>
      <c r="BS155" s="1056"/>
      <c r="BT155" s="1056"/>
      <c r="BU155" s="1056"/>
      <c r="BV155" s="1056"/>
      <c r="BW155" s="1056"/>
      <c r="BX155" s="1056"/>
      <c r="BY155" s="1056"/>
      <c r="BZ155" s="1056"/>
      <c r="CA155" s="1056"/>
      <c r="CB155" s="1056"/>
      <c r="CC155" s="1056"/>
      <c r="CD155" s="1056"/>
      <c r="CE155" s="1056"/>
      <c r="CF155" s="1056"/>
      <c r="CG155" s="1056"/>
      <c r="CH155" s="1056"/>
      <c r="CI155" s="1056"/>
      <c r="CJ155" s="1056"/>
      <c r="CK155" s="1056"/>
      <c r="CL155" s="1056"/>
      <c r="CM155" s="1056"/>
      <c r="CN155" s="1056"/>
      <c r="CO155" s="1056"/>
      <c r="CP155" s="1056"/>
      <c r="CQ155" s="1056"/>
      <c r="CR155" s="1056"/>
      <c r="CS155" s="1056"/>
      <c r="CT155" s="1056"/>
      <c r="CU155" s="1056"/>
      <c r="CV155" s="1056"/>
      <c r="CW155" s="1056"/>
      <c r="CX155" s="1056"/>
      <c r="CY155" s="1056"/>
      <c r="CZ155" s="1056"/>
      <c r="DA155" s="1056"/>
      <c r="DB155" s="1056"/>
      <c r="DC155" s="1056"/>
      <c r="DD155" s="1056"/>
      <c r="DE155" s="1056"/>
      <c r="DF155" s="1056"/>
      <c r="DG155" s="1056"/>
      <c r="DH155" s="1056"/>
      <c r="DI155" s="1056"/>
      <c r="DJ155" s="1056"/>
      <c r="DK155" s="1056"/>
      <c r="DL155" s="1056"/>
      <c r="DM155" s="1056"/>
      <c r="DN155" s="1056"/>
      <c r="DO155" s="1056"/>
      <c r="DP155" s="1056"/>
      <c r="DQ155" s="1056"/>
      <c r="DR155" s="1056"/>
      <c r="DS155" s="1056"/>
      <c r="DT155" s="1056"/>
      <c r="DU155" s="1056"/>
      <c r="DV155" s="1056"/>
      <c r="DW155" s="1056"/>
      <c r="DX155" s="1056"/>
      <c r="DY155" s="1056"/>
      <c r="DZ155" s="1056"/>
      <c r="EA155" s="1056"/>
      <c r="EB155" s="1056"/>
      <c r="EC155" s="1056"/>
      <c r="ED155" s="1056"/>
      <c r="EE155" s="1056"/>
      <c r="EF155" s="1056"/>
      <c r="EG155" s="1056"/>
      <c r="EH155" s="1056"/>
      <c r="EI155" s="1056"/>
      <c r="EJ155" s="1056"/>
      <c r="EK155" s="1056"/>
      <c r="EL155" s="1056"/>
      <c r="EM155" s="1056"/>
      <c r="EN155" s="1279"/>
      <c r="EO155" s="1279"/>
    </row>
    <row r="156" spans="1:145" ht="15">
      <c r="A156" s="760" t="s">
        <v>1915</v>
      </c>
      <c r="B156" s="763"/>
      <c r="C156" s="1103"/>
      <c r="D156" s="1103"/>
      <c r="E156" s="995"/>
      <c r="F156" s="995"/>
      <c r="G156" s="996"/>
      <c r="H156" s="996"/>
      <c r="I156" s="996"/>
      <c r="J156" s="996"/>
      <c r="K156" s="1264">
        <v>1560000</v>
      </c>
      <c r="L156" s="1217"/>
      <c r="M156" s="1104"/>
      <c r="N156" s="997"/>
      <c r="O156" s="997"/>
      <c r="P156" s="998"/>
      <c r="Q156" s="998"/>
      <c r="R156" s="999"/>
      <c r="S156" s="998"/>
      <c r="T156" s="998"/>
      <c r="U156" s="998"/>
      <c r="V156" s="998"/>
      <c r="W156" s="998"/>
      <c r="X156" s="1000"/>
      <c r="Y156" s="1000"/>
      <c r="Z156" s="1000"/>
      <c r="AA156" s="1000"/>
      <c r="AB156" s="1000"/>
      <c r="AC156" s="1000"/>
      <c r="AD156" s="1000"/>
      <c r="AE156" s="1000"/>
      <c r="AF156" s="1000"/>
      <c r="AG156" s="1000"/>
      <c r="AH156" s="1000"/>
      <c r="AI156" s="972"/>
      <c r="AJ156" s="1052"/>
      <c r="AK156" s="1052"/>
      <c r="AL156" s="1053"/>
      <c r="AM156" s="1220"/>
      <c r="AN156" s="1054"/>
      <c r="AO156" s="972"/>
      <c r="AP156" s="972"/>
      <c r="AQ156" s="1221"/>
      <c r="AR156" s="1053"/>
      <c r="AS156" s="1220"/>
      <c r="AT156" s="1053"/>
      <c r="AU156" s="1055"/>
      <c r="AV156" s="972"/>
      <c r="AW156" s="972"/>
      <c r="AX156" s="972"/>
      <c r="AY156" s="1056"/>
      <c r="AZ156" s="1056"/>
      <c r="BA156" s="1056"/>
      <c r="BB156" s="1056"/>
      <c r="BC156" s="1056"/>
      <c r="BD156" s="1056"/>
      <c r="BE156" s="1056"/>
      <c r="BF156" s="1056"/>
      <c r="BG156" s="1056"/>
      <c r="BH156" s="1056"/>
      <c r="BI156" s="1056"/>
      <c r="BJ156" s="1056"/>
      <c r="BK156" s="1056"/>
      <c r="BL156" s="1056"/>
      <c r="BM156" s="1056"/>
      <c r="BN156" s="1056"/>
      <c r="BO156" s="1056"/>
      <c r="BP156" s="1056"/>
      <c r="BQ156" s="1056"/>
      <c r="BR156" s="1056"/>
      <c r="BS156" s="1056"/>
      <c r="BT156" s="1056"/>
      <c r="BU156" s="1056"/>
      <c r="BV156" s="1056"/>
      <c r="BW156" s="1056"/>
      <c r="BX156" s="1056"/>
      <c r="BY156" s="1056"/>
      <c r="BZ156" s="1056"/>
      <c r="CA156" s="1056"/>
      <c r="CB156" s="1056"/>
      <c r="CC156" s="1056"/>
      <c r="CD156" s="1056"/>
      <c r="CE156" s="1056"/>
      <c r="CF156" s="1056"/>
      <c r="CG156" s="1056"/>
      <c r="CH156" s="1056"/>
      <c r="CI156" s="1056"/>
      <c r="CJ156" s="1056"/>
      <c r="CK156" s="1056"/>
      <c r="CL156" s="1056"/>
      <c r="CM156" s="1056"/>
      <c r="CN156" s="1056"/>
      <c r="CO156" s="1056"/>
      <c r="CP156" s="1056"/>
      <c r="CQ156" s="1056"/>
      <c r="CR156" s="1056"/>
      <c r="CS156" s="1056"/>
      <c r="CT156" s="1056"/>
      <c r="CU156" s="1056"/>
      <c r="CV156" s="1056"/>
      <c r="CW156" s="1056"/>
      <c r="CX156" s="1056"/>
      <c r="CY156" s="1056"/>
      <c r="CZ156" s="1056"/>
      <c r="DA156" s="1056"/>
      <c r="DB156" s="1056"/>
      <c r="DC156" s="1056"/>
      <c r="DD156" s="1056"/>
      <c r="DE156" s="1056"/>
      <c r="DF156" s="1056"/>
      <c r="DG156" s="1056"/>
      <c r="DH156" s="1056"/>
      <c r="DI156" s="1056"/>
      <c r="DJ156" s="1056"/>
      <c r="DK156" s="1056"/>
      <c r="DL156" s="1056"/>
      <c r="DM156" s="1056"/>
      <c r="DN156" s="1056"/>
      <c r="DO156" s="1056"/>
      <c r="DP156" s="1056"/>
      <c r="DQ156" s="1056"/>
      <c r="DR156" s="1056"/>
      <c r="DS156" s="1056"/>
      <c r="DT156" s="1056"/>
      <c r="DU156" s="1056"/>
      <c r="DV156" s="1056"/>
      <c r="DW156" s="1056"/>
      <c r="DX156" s="1056"/>
      <c r="DY156" s="1056"/>
      <c r="DZ156" s="1056"/>
      <c r="EA156" s="1056"/>
      <c r="EB156" s="1056"/>
      <c r="EC156" s="1056"/>
      <c r="ED156" s="1056"/>
      <c r="EE156" s="1056"/>
      <c r="EF156" s="1056"/>
      <c r="EG156" s="1056"/>
      <c r="EH156" s="1056"/>
      <c r="EI156" s="1056"/>
      <c r="EJ156" s="1056"/>
      <c r="EK156" s="1056"/>
      <c r="EL156" s="1056"/>
      <c r="EM156" s="1056"/>
      <c r="EN156" s="1279"/>
      <c r="EO156" s="1279"/>
    </row>
    <row r="157" spans="1:145" ht="15">
      <c r="A157" s="760" t="s">
        <v>1920</v>
      </c>
      <c r="B157" s="763"/>
      <c r="C157" s="1103"/>
      <c r="D157" s="1103"/>
      <c r="E157" s="995"/>
      <c r="F157" s="995"/>
      <c r="G157" s="996"/>
      <c r="H157" s="996"/>
      <c r="I157" s="996"/>
      <c r="J157" s="996"/>
      <c r="K157" s="1264">
        <v>350000</v>
      </c>
      <c r="L157" s="1217"/>
      <c r="M157" s="1104"/>
      <c r="N157" s="997"/>
      <c r="O157" s="997"/>
      <c r="P157" s="998"/>
      <c r="Q157" s="998"/>
      <c r="R157" s="999"/>
      <c r="S157" s="998"/>
      <c r="T157" s="998"/>
      <c r="U157" s="998"/>
      <c r="V157" s="998"/>
      <c r="W157" s="998"/>
      <c r="X157" s="1000"/>
      <c r="Y157" s="1000"/>
      <c r="Z157" s="1000"/>
      <c r="AA157" s="1000"/>
      <c r="AB157" s="1000"/>
      <c r="AC157" s="1000"/>
      <c r="AD157" s="1000"/>
      <c r="AE157" s="1000"/>
      <c r="AF157" s="1000"/>
      <c r="AG157" s="1000"/>
      <c r="AH157" s="1000"/>
      <c r="AI157" s="972"/>
      <c r="AJ157" s="1052"/>
      <c r="AK157" s="1052"/>
      <c r="AL157" s="1053"/>
      <c r="AM157" s="1220"/>
      <c r="AN157" s="1054"/>
      <c r="AO157" s="972"/>
      <c r="AP157" s="972"/>
      <c r="AQ157" s="1221"/>
      <c r="AR157" s="1053"/>
      <c r="AS157" s="1220"/>
      <c r="AT157" s="1053"/>
      <c r="AU157" s="1055"/>
      <c r="AV157" s="972"/>
      <c r="AW157" s="972"/>
      <c r="AX157" s="972"/>
      <c r="AY157" s="1056"/>
      <c r="AZ157" s="1056"/>
      <c r="BA157" s="1056"/>
      <c r="BB157" s="1056"/>
      <c r="BC157" s="1056"/>
      <c r="BD157" s="1056"/>
      <c r="BE157" s="1056"/>
      <c r="BF157" s="1056"/>
      <c r="BG157" s="1056"/>
      <c r="BH157" s="1056"/>
      <c r="BI157" s="1056"/>
      <c r="BJ157" s="1056"/>
      <c r="BK157" s="1056"/>
      <c r="BL157" s="1056"/>
      <c r="BM157" s="1056"/>
      <c r="BN157" s="1056"/>
      <c r="BO157" s="1056"/>
      <c r="BP157" s="1056"/>
      <c r="BQ157" s="1056"/>
      <c r="BR157" s="1056"/>
      <c r="BS157" s="1056"/>
      <c r="BT157" s="1056"/>
      <c r="BU157" s="1056"/>
      <c r="BV157" s="1056"/>
      <c r="BW157" s="1056"/>
      <c r="BX157" s="1056"/>
      <c r="BY157" s="1056"/>
      <c r="BZ157" s="1056"/>
      <c r="CA157" s="1056"/>
      <c r="CB157" s="1056"/>
      <c r="CC157" s="1056"/>
      <c r="CD157" s="1056"/>
      <c r="CE157" s="1056"/>
      <c r="CF157" s="1056"/>
      <c r="CG157" s="1056"/>
      <c r="CH157" s="1056"/>
      <c r="CI157" s="1056"/>
      <c r="CJ157" s="1056"/>
      <c r="CK157" s="1056"/>
      <c r="CL157" s="1056"/>
      <c r="CM157" s="1056"/>
      <c r="CN157" s="1056"/>
      <c r="CO157" s="1056"/>
      <c r="CP157" s="1056"/>
      <c r="CQ157" s="1056"/>
      <c r="CR157" s="1056"/>
      <c r="CS157" s="1056"/>
      <c r="CT157" s="1056"/>
      <c r="CU157" s="1056"/>
      <c r="CV157" s="1056"/>
      <c r="CW157" s="1056"/>
      <c r="CX157" s="1056"/>
      <c r="CY157" s="1056"/>
      <c r="CZ157" s="1056"/>
      <c r="DA157" s="1056"/>
      <c r="DB157" s="1056"/>
      <c r="DC157" s="1056"/>
      <c r="DD157" s="1056"/>
      <c r="DE157" s="1056"/>
      <c r="DF157" s="1056"/>
      <c r="DG157" s="1056"/>
      <c r="DH157" s="1056"/>
      <c r="DI157" s="1056"/>
      <c r="DJ157" s="1056"/>
      <c r="DK157" s="1056"/>
      <c r="DL157" s="1056"/>
      <c r="DM157" s="1056"/>
      <c r="DN157" s="1056"/>
      <c r="DO157" s="1056"/>
      <c r="DP157" s="1056"/>
      <c r="DQ157" s="1056"/>
      <c r="DR157" s="1056"/>
      <c r="DS157" s="1056"/>
      <c r="DT157" s="1056"/>
      <c r="DU157" s="1056"/>
      <c r="DV157" s="1056"/>
      <c r="DW157" s="1056"/>
      <c r="DX157" s="1056"/>
      <c r="DY157" s="1056"/>
      <c r="DZ157" s="1056"/>
      <c r="EA157" s="1056"/>
      <c r="EB157" s="1056"/>
      <c r="EC157" s="1056"/>
      <c r="ED157" s="1056"/>
      <c r="EE157" s="1056"/>
      <c r="EF157" s="1056"/>
      <c r="EG157" s="1056"/>
      <c r="EH157" s="1056"/>
      <c r="EI157" s="1056"/>
      <c r="EJ157" s="1056"/>
      <c r="EK157" s="1056"/>
      <c r="EL157" s="1056"/>
      <c r="EM157" s="1056"/>
      <c r="EN157" s="1279"/>
      <c r="EO157" s="1279"/>
    </row>
    <row r="158" spans="1:145" ht="15">
      <c r="A158" s="760" t="s">
        <v>1262</v>
      </c>
      <c r="B158" s="763"/>
      <c r="C158" s="1103"/>
      <c r="D158" s="1103"/>
      <c r="E158" s="995"/>
      <c r="F158" s="995"/>
      <c r="G158" s="996"/>
      <c r="H158" s="996"/>
      <c r="I158" s="996"/>
      <c r="J158" s="996"/>
      <c r="K158" s="1264">
        <v>600000</v>
      </c>
      <c r="L158" s="1141"/>
      <c r="M158" s="1051"/>
      <c r="N158" s="1019"/>
      <c r="O158" s="1100"/>
      <c r="P158" s="1029"/>
      <c r="Q158" s="1029"/>
      <c r="R158" s="1041"/>
      <c r="S158" s="1029"/>
      <c r="T158" s="1029"/>
      <c r="U158" s="1029"/>
      <c r="V158" s="1029"/>
      <c r="W158" s="1029"/>
      <c r="X158" s="1009"/>
      <c r="Y158" s="1009"/>
      <c r="Z158" s="1009"/>
      <c r="AA158" s="1009"/>
      <c r="AB158" s="1009"/>
      <c r="AC158" s="1009"/>
      <c r="AD158" s="1009"/>
      <c r="AE158" s="1009"/>
      <c r="AF158" s="1009"/>
      <c r="AG158" s="1009"/>
      <c r="AH158" s="1009"/>
      <c r="AI158" s="972"/>
      <c r="AJ158" s="1052"/>
      <c r="AK158" s="1052"/>
      <c r="AL158" s="1053"/>
      <c r="AM158" s="1220"/>
      <c r="AN158" s="1054"/>
      <c r="AO158" s="972"/>
      <c r="AP158" s="972"/>
      <c r="AQ158" s="1221"/>
      <c r="AR158" s="1053"/>
      <c r="AS158" s="1220"/>
      <c r="AT158" s="1053"/>
      <c r="AU158" s="1055"/>
      <c r="AV158" s="972"/>
      <c r="AW158" s="972"/>
      <c r="AX158" s="972"/>
      <c r="AY158" s="1056"/>
      <c r="AZ158" s="1056"/>
      <c r="BA158" s="1056"/>
      <c r="BB158" s="1056"/>
      <c r="BC158" s="1056"/>
      <c r="BD158" s="1056"/>
      <c r="BE158" s="1056"/>
      <c r="BF158" s="1056"/>
      <c r="BG158" s="1056"/>
      <c r="BH158" s="1056"/>
      <c r="BI158" s="1056"/>
      <c r="BJ158" s="1056"/>
      <c r="BK158" s="1056"/>
      <c r="BL158" s="1056"/>
      <c r="BM158" s="1056"/>
      <c r="BN158" s="1056"/>
      <c r="BO158" s="1056"/>
      <c r="BP158" s="1056"/>
      <c r="BQ158" s="1056"/>
      <c r="BR158" s="1056"/>
      <c r="BS158" s="1056"/>
      <c r="BT158" s="1056"/>
      <c r="BU158" s="1056"/>
      <c r="BV158" s="1056"/>
      <c r="BW158" s="1056"/>
      <c r="BX158" s="1056"/>
      <c r="BY158" s="1056"/>
      <c r="BZ158" s="1056"/>
      <c r="CA158" s="1056"/>
      <c r="CB158" s="1056"/>
      <c r="CC158" s="1056"/>
      <c r="CD158" s="1056"/>
      <c r="CE158" s="1056"/>
      <c r="CF158" s="1056"/>
      <c r="CG158" s="1056"/>
      <c r="CH158" s="1056"/>
      <c r="CI158" s="1056"/>
      <c r="CJ158" s="1056"/>
      <c r="CK158" s="1056"/>
      <c r="CL158" s="1056"/>
      <c r="CM158" s="1056"/>
      <c r="CN158" s="1056"/>
      <c r="CO158" s="1056"/>
      <c r="CP158" s="1056"/>
      <c r="CQ158" s="1056"/>
      <c r="CR158" s="1056"/>
      <c r="CS158" s="1056"/>
      <c r="CT158" s="1056"/>
      <c r="CU158" s="1056"/>
      <c r="CV158" s="1056"/>
      <c r="CW158" s="1056"/>
      <c r="CX158" s="1056"/>
      <c r="CY158" s="1056"/>
      <c r="CZ158" s="1056"/>
      <c r="DA158" s="1056"/>
      <c r="DB158" s="1056"/>
      <c r="DC158" s="1056"/>
      <c r="DD158" s="1056"/>
      <c r="DE158" s="1056"/>
      <c r="DF158" s="1056"/>
      <c r="DG158" s="1056"/>
      <c r="DH158" s="1056"/>
      <c r="DI158" s="1056"/>
      <c r="DJ158" s="1056"/>
      <c r="DK158" s="1056"/>
      <c r="DL158" s="1056"/>
      <c r="DM158" s="1056"/>
      <c r="DN158" s="1056"/>
      <c r="DO158" s="1056"/>
      <c r="DP158" s="1056"/>
      <c r="DQ158" s="1056"/>
      <c r="DR158" s="1056"/>
      <c r="DS158" s="1056"/>
      <c r="DT158" s="1056"/>
      <c r="DU158" s="1056"/>
      <c r="DV158" s="1056"/>
      <c r="DW158" s="1056"/>
      <c r="DX158" s="1056"/>
      <c r="DY158" s="1056"/>
      <c r="DZ158" s="1056"/>
      <c r="EA158" s="1056"/>
      <c r="EB158" s="1056"/>
      <c r="EC158" s="1056"/>
      <c r="ED158" s="1056"/>
      <c r="EE158" s="1056"/>
      <c r="EF158" s="1056"/>
      <c r="EG158" s="1056"/>
      <c r="EH158" s="1056"/>
      <c r="EI158" s="1056"/>
      <c r="EJ158" s="1056"/>
      <c r="EK158" s="1056"/>
      <c r="EL158" s="1056"/>
      <c r="EM158" s="1056"/>
      <c r="EN158" s="1279"/>
      <c r="EO158" s="1279"/>
    </row>
    <row r="159" spans="1:145" ht="15">
      <c r="A159" s="1011" t="s">
        <v>25</v>
      </c>
      <c r="B159" s="1028"/>
      <c r="C159" s="656"/>
      <c r="D159" s="656"/>
      <c r="E159" s="1050"/>
      <c r="F159" s="1050"/>
      <c r="G159" s="1051"/>
      <c r="H159" s="1051"/>
      <c r="I159" s="1051"/>
      <c r="J159" s="1051"/>
      <c r="K159" s="1051"/>
      <c r="L159" s="1144">
        <v>5700000</v>
      </c>
      <c r="M159" s="1179"/>
      <c r="N159" s="997"/>
      <c r="O159" s="1105"/>
      <c r="P159" s="998"/>
      <c r="Q159" s="998"/>
      <c r="R159" s="999"/>
      <c r="S159" s="1096"/>
      <c r="T159" s="1096"/>
      <c r="U159" s="1096"/>
      <c r="V159" s="1096"/>
      <c r="W159" s="1102"/>
      <c r="X159" s="1098"/>
      <c r="Y159" s="1098"/>
      <c r="Z159" s="1098"/>
      <c r="AA159" s="1098"/>
      <c r="AB159" s="1098"/>
      <c r="AC159" s="1098"/>
      <c r="AD159" s="1098"/>
      <c r="AE159" s="1098"/>
      <c r="AF159" s="1098"/>
      <c r="AG159" s="1098"/>
      <c r="AH159" s="1098"/>
      <c r="AI159" s="901"/>
      <c r="AJ159" s="1294"/>
      <c r="AK159" s="1294"/>
      <c r="AL159" s="1335"/>
      <c r="AM159" s="1336"/>
      <c r="AN159" s="1337"/>
      <c r="AO159" s="901"/>
      <c r="AP159" s="901"/>
      <c r="AQ159" s="1338"/>
      <c r="AR159" s="1335"/>
      <c r="AS159" s="1336"/>
      <c r="AT159" s="1335"/>
      <c r="AU159" s="1299"/>
      <c r="AV159" s="901"/>
      <c r="AW159" s="901"/>
      <c r="AX159" s="901"/>
      <c r="AY159" s="901"/>
      <c r="AZ159" s="901"/>
      <c r="BA159" s="901"/>
      <c r="BB159" s="901"/>
      <c r="BC159" s="901"/>
      <c r="BD159" s="901"/>
      <c r="BE159" s="901"/>
      <c r="BF159" s="901"/>
      <c r="BG159" s="901"/>
      <c r="BH159" s="901"/>
      <c r="BI159" s="901"/>
      <c r="BJ159" s="901"/>
      <c r="BK159" s="901"/>
      <c r="BL159" s="901"/>
      <c r="BM159" s="901"/>
      <c r="BN159" s="901"/>
      <c r="BO159" s="901"/>
      <c r="BP159" s="901"/>
      <c r="BQ159" s="901"/>
      <c r="BR159" s="901"/>
      <c r="BS159" s="901"/>
      <c r="BT159" s="901"/>
      <c r="BU159" s="901"/>
      <c r="BV159" s="901"/>
      <c r="BW159" s="901"/>
      <c r="BX159" s="901"/>
      <c r="BY159" s="901"/>
      <c r="BZ159" s="901"/>
      <c r="CA159" s="901"/>
      <c r="CB159" s="901"/>
      <c r="CC159" s="901"/>
      <c r="CD159" s="901"/>
      <c r="CE159" s="901"/>
      <c r="CF159" s="901"/>
      <c r="CG159" s="901"/>
      <c r="CH159" s="901"/>
      <c r="CI159" s="901"/>
      <c r="CJ159" s="901"/>
      <c r="CK159" s="901"/>
      <c r="CL159" s="901"/>
      <c r="CM159" s="901"/>
      <c r="CN159" s="901"/>
      <c r="CO159" s="901"/>
      <c r="CP159" s="901"/>
      <c r="CQ159" s="901"/>
      <c r="CR159" s="901"/>
      <c r="CS159" s="901"/>
      <c r="CT159" s="901"/>
      <c r="CU159" s="901"/>
      <c r="CV159" s="901"/>
      <c r="CW159" s="901"/>
      <c r="CX159" s="901"/>
      <c r="CY159" s="901"/>
      <c r="CZ159" s="901"/>
      <c r="DA159" s="901"/>
      <c r="DB159" s="901"/>
      <c r="DC159" s="901"/>
      <c r="DD159" s="901"/>
      <c r="DE159" s="901"/>
      <c r="DF159" s="901"/>
      <c r="DG159" s="901"/>
      <c r="DH159" s="901"/>
      <c r="DI159" s="901"/>
      <c r="DJ159" s="901"/>
      <c r="DK159" s="901"/>
      <c r="DL159" s="901"/>
      <c r="DM159" s="901"/>
      <c r="DN159" s="901"/>
      <c r="DO159" s="901"/>
      <c r="DP159" s="901"/>
      <c r="DQ159" s="901"/>
      <c r="DR159" s="901"/>
      <c r="DS159" s="901"/>
      <c r="DT159" s="901"/>
      <c r="DU159" s="901"/>
      <c r="DV159" s="901"/>
      <c r="DW159" s="901"/>
      <c r="DX159" s="901"/>
      <c r="DY159" s="901"/>
      <c r="DZ159" s="901"/>
      <c r="EA159" s="901"/>
      <c r="EB159" s="901"/>
      <c r="EC159" s="901"/>
      <c r="ED159" s="901"/>
      <c r="EE159" s="901"/>
      <c r="EF159" s="901"/>
      <c r="EG159" s="901"/>
      <c r="EH159" s="901"/>
      <c r="EI159" s="901"/>
      <c r="EJ159" s="901"/>
      <c r="EK159" s="901"/>
      <c r="EL159" s="901"/>
      <c r="EM159" s="901"/>
      <c r="EN159" s="1279"/>
      <c r="EO159" s="1279"/>
    </row>
    <row r="160" spans="1:145" ht="46.5">
      <c r="A160" s="1175" t="s">
        <v>924</v>
      </c>
      <c r="B160" s="1091"/>
      <c r="C160" s="1092" t="s">
        <v>25</v>
      </c>
      <c r="D160" s="1092"/>
      <c r="E160" s="1093"/>
      <c r="F160" s="1093"/>
      <c r="G160" s="1094"/>
      <c r="H160" s="1094"/>
      <c r="I160" s="1094"/>
      <c r="J160" s="1094"/>
      <c r="K160" s="1179">
        <f>SUM(K161:K171)</f>
        <v>4579166</v>
      </c>
      <c r="L160" s="1217"/>
      <c r="M160" s="1104"/>
      <c r="N160" s="1095"/>
      <c r="O160" s="1101"/>
      <c r="P160" s="1096"/>
      <c r="Q160" s="1096"/>
      <c r="R160" s="1097"/>
      <c r="S160" s="998"/>
      <c r="T160" s="998"/>
      <c r="U160" s="998"/>
      <c r="V160" s="998"/>
      <c r="W160" s="1207"/>
      <c r="X160" s="1000"/>
      <c r="Y160" s="1000"/>
      <c r="Z160" s="1000"/>
      <c r="AA160" s="1000"/>
      <c r="AB160" s="1000"/>
      <c r="AC160" s="1000"/>
      <c r="AD160" s="1000"/>
      <c r="AE160" s="1000"/>
      <c r="AF160" s="1000"/>
      <c r="AG160" s="1000"/>
      <c r="AH160" s="1000"/>
      <c r="AI160" s="901"/>
      <c r="AJ160" s="1294"/>
      <c r="AK160" s="1294"/>
      <c r="AL160" s="1335"/>
      <c r="AM160" s="1336"/>
      <c r="AN160" s="1337"/>
      <c r="AO160" s="901"/>
      <c r="AP160" s="901"/>
      <c r="AQ160" s="1338"/>
      <c r="AR160" s="1335"/>
      <c r="AS160" s="1336"/>
      <c r="AT160" s="1335"/>
      <c r="AU160" s="1299"/>
      <c r="AV160" s="901"/>
      <c r="AW160" s="901"/>
      <c r="AX160" s="901"/>
      <c r="AY160" s="901"/>
      <c r="AZ160" s="901"/>
      <c r="BA160" s="901"/>
      <c r="BB160" s="901"/>
      <c r="BC160" s="901"/>
      <c r="BD160" s="901"/>
      <c r="BE160" s="901"/>
      <c r="BF160" s="901"/>
      <c r="BG160" s="901"/>
      <c r="BH160" s="901"/>
      <c r="BI160" s="901"/>
      <c r="BJ160" s="901"/>
      <c r="BK160" s="901"/>
      <c r="BL160" s="901"/>
      <c r="BM160" s="901"/>
      <c r="BN160" s="901"/>
      <c r="BO160" s="901"/>
      <c r="BP160" s="901"/>
      <c r="BQ160" s="901"/>
      <c r="BR160" s="901"/>
      <c r="BS160" s="901"/>
      <c r="BT160" s="901"/>
      <c r="BU160" s="901"/>
      <c r="BV160" s="901"/>
      <c r="BW160" s="901"/>
      <c r="BX160" s="901"/>
      <c r="BY160" s="901"/>
      <c r="BZ160" s="901"/>
      <c r="CA160" s="901"/>
      <c r="CB160" s="901"/>
      <c r="CC160" s="901"/>
      <c r="CD160" s="901"/>
      <c r="CE160" s="901"/>
      <c r="CF160" s="901"/>
      <c r="CG160" s="901"/>
      <c r="CH160" s="901"/>
      <c r="CI160" s="901"/>
      <c r="CJ160" s="901"/>
      <c r="CK160" s="901"/>
      <c r="CL160" s="901"/>
      <c r="CM160" s="901"/>
      <c r="CN160" s="901"/>
      <c r="CO160" s="901"/>
      <c r="CP160" s="901"/>
      <c r="CQ160" s="901"/>
      <c r="CR160" s="901"/>
      <c r="CS160" s="901"/>
      <c r="CT160" s="901"/>
      <c r="CU160" s="901"/>
      <c r="CV160" s="901"/>
      <c r="CW160" s="901"/>
      <c r="CX160" s="901"/>
      <c r="CY160" s="901"/>
      <c r="CZ160" s="901"/>
      <c r="DA160" s="901"/>
      <c r="DB160" s="901"/>
      <c r="DC160" s="901"/>
      <c r="DD160" s="901"/>
      <c r="DE160" s="901"/>
      <c r="DF160" s="901"/>
      <c r="DG160" s="901"/>
      <c r="DH160" s="901"/>
      <c r="DI160" s="901"/>
      <c r="DJ160" s="901"/>
      <c r="DK160" s="901"/>
      <c r="DL160" s="901"/>
      <c r="DM160" s="901"/>
      <c r="DN160" s="901"/>
      <c r="DO160" s="901"/>
      <c r="DP160" s="901"/>
      <c r="DQ160" s="901"/>
      <c r="DR160" s="901"/>
      <c r="DS160" s="901"/>
      <c r="DT160" s="901"/>
      <c r="DU160" s="901"/>
      <c r="DV160" s="901"/>
      <c r="DW160" s="901"/>
      <c r="DX160" s="901"/>
      <c r="DY160" s="901"/>
      <c r="DZ160" s="901"/>
      <c r="EA160" s="901"/>
      <c r="EB160" s="901"/>
      <c r="EC160" s="901"/>
      <c r="ED160" s="901"/>
      <c r="EE160" s="901"/>
      <c r="EF160" s="901"/>
      <c r="EG160" s="901"/>
      <c r="EH160" s="901"/>
      <c r="EI160" s="901"/>
      <c r="EJ160" s="901"/>
      <c r="EK160" s="901"/>
      <c r="EL160" s="901"/>
      <c r="EM160" s="901"/>
      <c r="EN160" s="1279"/>
      <c r="EO160" s="1279"/>
    </row>
    <row r="161" spans="1:145" ht="15">
      <c r="A161" s="1258" t="s">
        <v>1281</v>
      </c>
      <c r="B161" s="1259" t="s">
        <v>1289</v>
      </c>
      <c r="C161" s="1103"/>
      <c r="D161" s="1103"/>
      <c r="E161" s="995"/>
      <c r="F161" s="995"/>
      <c r="G161" s="996"/>
      <c r="H161" s="996"/>
      <c r="I161" s="996"/>
      <c r="J161" s="996"/>
      <c r="K161" s="1264">
        <v>426174</v>
      </c>
      <c r="L161" s="1217"/>
      <c r="M161" s="1104"/>
      <c r="N161" s="997"/>
      <c r="O161" s="1105"/>
      <c r="P161" s="998"/>
      <c r="Q161" s="998"/>
      <c r="R161" s="999"/>
      <c r="S161" s="998"/>
      <c r="T161" s="998"/>
      <c r="U161" s="998"/>
      <c r="V161" s="998"/>
      <c r="W161" s="1207"/>
      <c r="X161" s="1000"/>
      <c r="Y161" s="1000"/>
      <c r="Z161" s="1000"/>
      <c r="AA161" s="1000"/>
      <c r="AB161" s="1000"/>
      <c r="AC161" s="1000"/>
      <c r="AD161" s="1000"/>
      <c r="AE161" s="1000"/>
      <c r="AF161" s="1000"/>
      <c r="AG161" s="1000"/>
      <c r="AH161" s="1000"/>
      <c r="AI161" s="901"/>
      <c r="AJ161" s="1294"/>
      <c r="AK161" s="1294"/>
      <c r="AL161" s="1335"/>
      <c r="AM161" s="1336"/>
      <c r="AN161" s="1337"/>
      <c r="AO161" s="901"/>
      <c r="AP161" s="901"/>
      <c r="AQ161" s="1338"/>
      <c r="AR161" s="1335"/>
      <c r="AS161" s="1336"/>
      <c r="AT161" s="1335"/>
      <c r="AU161" s="1299"/>
      <c r="AV161" s="901"/>
      <c r="AW161" s="901"/>
      <c r="AX161" s="901"/>
      <c r="AY161" s="901"/>
      <c r="AZ161" s="901"/>
      <c r="BA161" s="901"/>
      <c r="BB161" s="901"/>
      <c r="BC161" s="901"/>
      <c r="BD161" s="901"/>
      <c r="BE161" s="901"/>
      <c r="BF161" s="901"/>
      <c r="BG161" s="901"/>
      <c r="BH161" s="901"/>
      <c r="BI161" s="901"/>
      <c r="BJ161" s="901"/>
      <c r="BK161" s="901"/>
      <c r="BL161" s="901"/>
      <c r="BM161" s="901"/>
      <c r="BN161" s="901"/>
      <c r="BO161" s="901"/>
      <c r="BP161" s="901"/>
      <c r="BQ161" s="901"/>
      <c r="BR161" s="901"/>
      <c r="BS161" s="901"/>
      <c r="BT161" s="901"/>
      <c r="BU161" s="901"/>
      <c r="BV161" s="901"/>
      <c r="BW161" s="901"/>
      <c r="BX161" s="901"/>
      <c r="BY161" s="901"/>
      <c r="BZ161" s="901"/>
      <c r="CA161" s="901"/>
      <c r="CB161" s="901"/>
      <c r="CC161" s="901"/>
      <c r="CD161" s="901"/>
      <c r="CE161" s="901"/>
      <c r="CF161" s="901"/>
      <c r="CG161" s="901"/>
      <c r="CH161" s="901"/>
      <c r="CI161" s="901"/>
      <c r="CJ161" s="901"/>
      <c r="CK161" s="901"/>
      <c r="CL161" s="901"/>
      <c r="CM161" s="901"/>
      <c r="CN161" s="901"/>
      <c r="CO161" s="901"/>
      <c r="CP161" s="901"/>
      <c r="CQ161" s="901"/>
      <c r="CR161" s="901"/>
      <c r="CS161" s="901"/>
      <c r="CT161" s="901"/>
      <c r="CU161" s="901"/>
      <c r="CV161" s="901"/>
      <c r="CW161" s="901"/>
      <c r="CX161" s="901"/>
      <c r="CY161" s="901"/>
      <c r="CZ161" s="901"/>
      <c r="DA161" s="901"/>
      <c r="DB161" s="901"/>
      <c r="DC161" s="901"/>
      <c r="DD161" s="901"/>
      <c r="DE161" s="901"/>
      <c r="DF161" s="901"/>
      <c r="DG161" s="901"/>
      <c r="DH161" s="901"/>
      <c r="DI161" s="901"/>
      <c r="DJ161" s="901"/>
      <c r="DK161" s="901"/>
      <c r="DL161" s="901"/>
      <c r="DM161" s="901"/>
      <c r="DN161" s="901"/>
      <c r="DO161" s="901"/>
      <c r="DP161" s="901"/>
      <c r="DQ161" s="901"/>
      <c r="DR161" s="901"/>
      <c r="DS161" s="901"/>
      <c r="DT161" s="901"/>
      <c r="DU161" s="901"/>
      <c r="DV161" s="901"/>
      <c r="DW161" s="901"/>
      <c r="DX161" s="901"/>
      <c r="DY161" s="901"/>
      <c r="DZ161" s="901"/>
      <c r="EA161" s="901"/>
      <c r="EB161" s="901"/>
      <c r="EC161" s="901"/>
      <c r="ED161" s="901"/>
      <c r="EE161" s="901"/>
      <c r="EF161" s="901"/>
      <c r="EG161" s="901"/>
      <c r="EH161" s="901"/>
      <c r="EI161" s="901"/>
      <c r="EJ161" s="901"/>
      <c r="EK161" s="901"/>
      <c r="EL161" s="901"/>
      <c r="EM161" s="901"/>
      <c r="EN161" s="1279"/>
      <c r="EO161" s="1279"/>
    </row>
    <row r="162" spans="1:145" ht="16.5" customHeight="1">
      <c r="A162" s="1258" t="s">
        <v>1282</v>
      </c>
      <c r="B162" s="1259" t="s">
        <v>1290</v>
      </c>
      <c r="C162" s="1103"/>
      <c r="D162" s="1103"/>
      <c r="E162" s="995"/>
      <c r="F162" s="995"/>
      <c r="G162" s="996"/>
      <c r="H162" s="996"/>
      <c r="I162" s="996"/>
      <c r="J162" s="996"/>
      <c r="K162" s="1264">
        <v>233000</v>
      </c>
      <c r="L162" s="1217"/>
      <c r="M162" s="1104"/>
      <c r="N162" s="997"/>
      <c r="O162" s="1105"/>
      <c r="P162" s="998"/>
      <c r="Q162" s="998"/>
      <c r="R162" s="999"/>
      <c r="S162" s="998"/>
      <c r="T162" s="998"/>
      <c r="U162" s="998"/>
      <c r="V162" s="998"/>
      <c r="W162" s="1207"/>
      <c r="X162" s="1000"/>
      <c r="Y162" s="1000"/>
      <c r="Z162" s="1000"/>
      <c r="AA162" s="1000"/>
      <c r="AB162" s="1000"/>
      <c r="AC162" s="1000"/>
      <c r="AD162" s="1000"/>
      <c r="AE162" s="1000"/>
      <c r="AF162" s="1000"/>
      <c r="AG162" s="1000"/>
      <c r="AH162" s="1000"/>
      <c r="AI162" s="901"/>
      <c r="AJ162" s="1294"/>
      <c r="AK162" s="1294"/>
      <c r="AL162" s="1335"/>
      <c r="AM162" s="1336"/>
      <c r="AN162" s="1337"/>
      <c r="AO162" s="901"/>
      <c r="AP162" s="901"/>
      <c r="AQ162" s="1338"/>
      <c r="AR162" s="1335"/>
      <c r="AS162" s="1336"/>
      <c r="AT162" s="1335"/>
      <c r="AU162" s="1299"/>
      <c r="AV162" s="901"/>
      <c r="AW162" s="901"/>
      <c r="AX162" s="901"/>
      <c r="AY162" s="901"/>
      <c r="AZ162" s="901"/>
      <c r="BA162" s="901"/>
      <c r="BB162" s="901"/>
      <c r="BC162" s="901"/>
      <c r="BD162" s="901"/>
      <c r="BE162" s="901"/>
      <c r="BF162" s="901"/>
      <c r="BG162" s="901"/>
      <c r="BH162" s="901"/>
      <c r="BI162" s="901"/>
      <c r="BJ162" s="901"/>
      <c r="BK162" s="901"/>
      <c r="BL162" s="901"/>
      <c r="BM162" s="901"/>
      <c r="BN162" s="901"/>
      <c r="BO162" s="901"/>
      <c r="BP162" s="901"/>
      <c r="BQ162" s="901"/>
      <c r="BR162" s="901"/>
      <c r="BS162" s="901"/>
      <c r="BT162" s="901"/>
      <c r="BU162" s="901"/>
      <c r="BV162" s="901"/>
      <c r="BW162" s="901"/>
      <c r="BX162" s="901"/>
      <c r="BY162" s="901"/>
      <c r="BZ162" s="901"/>
      <c r="CA162" s="901"/>
      <c r="CB162" s="901"/>
      <c r="CC162" s="901"/>
      <c r="CD162" s="901"/>
      <c r="CE162" s="901"/>
      <c r="CF162" s="901"/>
      <c r="CG162" s="901"/>
      <c r="CH162" s="901"/>
      <c r="CI162" s="901"/>
      <c r="CJ162" s="901"/>
      <c r="CK162" s="901"/>
      <c r="CL162" s="901"/>
      <c r="CM162" s="901"/>
      <c r="CN162" s="901"/>
      <c r="CO162" s="901"/>
      <c r="CP162" s="901"/>
      <c r="CQ162" s="901"/>
      <c r="CR162" s="901"/>
      <c r="CS162" s="901"/>
      <c r="CT162" s="901"/>
      <c r="CU162" s="901"/>
      <c r="CV162" s="901"/>
      <c r="CW162" s="901"/>
      <c r="CX162" s="901"/>
      <c r="CY162" s="901"/>
      <c r="CZ162" s="901"/>
      <c r="DA162" s="901"/>
      <c r="DB162" s="901"/>
      <c r="DC162" s="901"/>
      <c r="DD162" s="901"/>
      <c r="DE162" s="901"/>
      <c r="DF162" s="901"/>
      <c r="DG162" s="901"/>
      <c r="DH162" s="901"/>
      <c r="DI162" s="901"/>
      <c r="DJ162" s="901"/>
      <c r="DK162" s="901"/>
      <c r="DL162" s="901"/>
      <c r="DM162" s="901"/>
      <c r="DN162" s="901"/>
      <c r="DO162" s="901"/>
      <c r="DP162" s="901"/>
      <c r="DQ162" s="901"/>
      <c r="DR162" s="901"/>
      <c r="DS162" s="901"/>
      <c r="DT162" s="901"/>
      <c r="DU162" s="901"/>
      <c r="DV162" s="901"/>
      <c r="DW162" s="901"/>
      <c r="DX162" s="901"/>
      <c r="DY162" s="901"/>
      <c r="DZ162" s="901"/>
      <c r="EA162" s="901"/>
      <c r="EB162" s="901"/>
      <c r="EC162" s="901"/>
      <c r="ED162" s="901"/>
      <c r="EE162" s="901"/>
      <c r="EF162" s="901"/>
      <c r="EG162" s="901"/>
      <c r="EH162" s="901"/>
      <c r="EI162" s="901"/>
      <c r="EJ162" s="901"/>
      <c r="EK162" s="901"/>
      <c r="EL162" s="901"/>
      <c r="EM162" s="901"/>
      <c r="EN162" s="1279"/>
      <c r="EO162" s="1279"/>
    </row>
    <row r="163" spans="1:145" ht="15" customHeight="1">
      <c r="A163" s="1258" t="s">
        <v>1283</v>
      </c>
      <c r="B163" s="1259" t="s">
        <v>1291</v>
      </c>
      <c r="C163" s="1103"/>
      <c r="D163" s="1103"/>
      <c r="E163" s="995"/>
      <c r="F163" s="995"/>
      <c r="G163" s="996"/>
      <c r="H163" s="1234" t="s">
        <v>1676</v>
      </c>
      <c r="I163" s="996"/>
      <c r="J163" s="996"/>
      <c r="K163" s="1264">
        <v>897000</v>
      </c>
      <c r="L163" s="1217"/>
      <c r="M163" s="1104"/>
      <c r="N163" s="997"/>
      <c r="O163" s="1105"/>
      <c r="P163" s="998"/>
      <c r="Q163" s="998"/>
      <c r="R163" s="999"/>
      <c r="S163" s="998"/>
      <c r="T163" s="998"/>
      <c r="U163" s="998"/>
      <c r="V163" s="998"/>
      <c r="W163" s="1207"/>
      <c r="X163" s="1000"/>
      <c r="Y163" s="1000"/>
      <c r="Z163" s="1000"/>
      <c r="AA163" s="1000"/>
      <c r="AB163" s="1000"/>
      <c r="AC163" s="1000"/>
      <c r="AD163" s="1000"/>
      <c r="AE163" s="1000"/>
      <c r="AF163" s="1000"/>
      <c r="AG163" s="1000"/>
      <c r="AH163" s="1000"/>
      <c r="AI163" s="901"/>
      <c r="AJ163" s="1294"/>
      <c r="AK163" s="1294"/>
      <c r="AL163" s="1335"/>
      <c r="AM163" s="1336"/>
      <c r="AN163" s="1337"/>
      <c r="AO163" s="901"/>
      <c r="AP163" s="901"/>
      <c r="AQ163" s="1338"/>
      <c r="AR163" s="1335"/>
      <c r="AS163" s="1336"/>
      <c r="AT163" s="1335"/>
      <c r="AU163" s="1299"/>
      <c r="AV163" s="901"/>
      <c r="AW163" s="901"/>
      <c r="AX163" s="901"/>
      <c r="AY163" s="901"/>
      <c r="AZ163" s="901"/>
      <c r="BA163" s="901"/>
      <c r="BB163" s="901"/>
      <c r="BC163" s="901"/>
      <c r="BD163" s="901"/>
      <c r="BE163" s="901"/>
      <c r="BF163" s="901"/>
      <c r="BG163" s="901"/>
      <c r="BH163" s="901"/>
      <c r="BI163" s="901"/>
      <c r="BJ163" s="901"/>
      <c r="BK163" s="901"/>
      <c r="BL163" s="901"/>
      <c r="BM163" s="901"/>
      <c r="BN163" s="901"/>
      <c r="BO163" s="901"/>
      <c r="BP163" s="901"/>
      <c r="BQ163" s="901"/>
      <c r="BR163" s="901"/>
      <c r="BS163" s="901"/>
      <c r="BT163" s="901"/>
      <c r="BU163" s="901"/>
      <c r="BV163" s="901"/>
      <c r="BW163" s="901"/>
      <c r="BX163" s="901"/>
      <c r="BY163" s="901"/>
      <c r="BZ163" s="901"/>
      <c r="CA163" s="901"/>
      <c r="CB163" s="901"/>
      <c r="CC163" s="901"/>
      <c r="CD163" s="901"/>
      <c r="CE163" s="901"/>
      <c r="CF163" s="901"/>
      <c r="CG163" s="901"/>
      <c r="CH163" s="901"/>
      <c r="CI163" s="901"/>
      <c r="CJ163" s="901"/>
      <c r="CK163" s="901"/>
      <c r="CL163" s="901"/>
      <c r="CM163" s="901"/>
      <c r="CN163" s="901"/>
      <c r="CO163" s="901"/>
      <c r="CP163" s="901"/>
      <c r="CQ163" s="901"/>
      <c r="CR163" s="901"/>
      <c r="CS163" s="901"/>
      <c r="CT163" s="901"/>
      <c r="CU163" s="901"/>
      <c r="CV163" s="901"/>
      <c r="CW163" s="901"/>
      <c r="CX163" s="901"/>
      <c r="CY163" s="901"/>
      <c r="CZ163" s="901"/>
      <c r="DA163" s="901"/>
      <c r="DB163" s="901"/>
      <c r="DC163" s="901"/>
      <c r="DD163" s="901"/>
      <c r="DE163" s="901"/>
      <c r="DF163" s="901"/>
      <c r="DG163" s="901"/>
      <c r="DH163" s="901"/>
      <c r="DI163" s="901"/>
      <c r="DJ163" s="901"/>
      <c r="DK163" s="901"/>
      <c r="DL163" s="901"/>
      <c r="DM163" s="901"/>
      <c r="DN163" s="901"/>
      <c r="DO163" s="901"/>
      <c r="DP163" s="901"/>
      <c r="DQ163" s="901"/>
      <c r="DR163" s="901"/>
      <c r="DS163" s="901"/>
      <c r="DT163" s="901"/>
      <c r="DU163" s="901"/>
      <c r="DV163" s="901"/>
      <c r="DW163" s="901"/>
      <c r="DX163" s="901"/>
      <c r="DY163" s="901"/>
      <c r="DZ163" s="901"/>
      <c r="EA163" s="901"/>
      <c r="EB163" s="901"/>
      <c r="EC163" s="901"/>
      <c r="ED163" s="901"/>
      <c r="EE163" s="901"/>
      <c r="EF163" s="901"/>
      <c r="EG163" s="901"/>
      <c r="EH163" s="901"/>
      <c r="EI163" s="901"/>
      <c r="EJ163" s="901"/>
      <c r="EK163" s="901"/>
      <c r="EL163" s="901"/>
      <c r="EM163" s="901"/>
      <c r="EN163" s="1279"/>
      <c r="EO163" s="1279"/>
    </row>
    <row r="164" spans="1:145" ht="15">
      <c r="A164" s="1258" t="s">
        <v>1917</v>
      </c>
      <c r="B164" s="1259"/>
      <c r="C164" s="1103"/>
      <c r="D164" s="1103"/>
      <c r="E164" s="995"/>
      <c r="F164" s="995"/>
      <c r="G164" s="996"/>
      <c r="H164" s="996"/>
      <c r="I164" s="996"/>
      <c r="J164" s="996"/>
      <c r="K164" s="1264">
        <v>30000</v>
      </c>
      <c r="L164" s="1217"/>
      <c r="M164" s="1104"/>
      <c r="N164" s="997"/>
      <c r="O164" s="1105"/>
      <c r="P164" s="998"/>
      <c r="Q164" s="998"/>
      <c r="R164" s="999"/>
      <c r="S164" s="998"/>
      <c r="T164" s="998"/>
      <c r="U164" s="998"/>
      <c r="V164" s="998"/>
      <c r="W164" s="1207"/>
      <c r="X164" s="1000"/>
      <c r="Y164" s="1000"/>
      <c r="Z164" s="1000"/>
      <c r="AA164" s="1000"/>
      <c r="AB164" s="1000"/>
      <c r="AC164" s="1000"/>
      <c r="AD164" s="1000"/>
      <c r="AE164" s="1000"/>
      <c r="AF164" s="1000"/>
      <c r="AG164" s="1000"/>
      <c r="AH164" s="1000"/>
      <c r="AI164" s="901"/>
      <c r="AJ164" s="1294"/>
      <c r="AK164" s="1294"/>
      <c r="AL164" s="1335"/>
      <c r="AM164" s="1336"/>
      <c r="AN164" s="1337"/>
      <c r="AO164" s="901"/>
      <c r="AP164" s="901"/>
      <c r="AQ164" s="1338"/>
      <c r="AR164" s="1335"/>
      <c r="AS164" s="1336"/>
      <c r="AT164" s="1335"/>
      <c r="AU164" s="1299"/>
      <c r="AV164" s="901"/>
      <c r="AW164" s="901"/>
      <c r="AX164" s="901"/>
      <c r="AY164" s="901"/>
      <c r="AZ164" s="901"/>
      <c r="BA164" s="901"/>
      <c r="BB164" s="901"/>
      <c r="BC164" s="901"/>
      <c r="BD164" s="901"/>
      <c r="BE164" s="901"/>
      <c r="BF164" s="901"/>
      <c r="BG164" s="901"/>
      <c r="BH164" s="901"/>
      <c r="BI164" s="901"/>
      <c r="BJ164" s="901"/>
      <c r="BK164" s="901"/>
      <c r="BL164" s="901"/>
      <c r="BM164" s="901"/>
      <c r="BN164" s="901"/>
      <c r="BO164" s="901"/>
      <c r="BP164" s="901"/>
      <c r="BQ164" s="901"/>
      <c r="BR164" s="901"/>
      <c r="BS164" s="901"/>
      <c r="BT164" s="901"/>
      <c r="BU164" s="901"/>
      <c r="BV164" s="901"/>
      <c r="BW164" s="901"/>
      <c r="BX164" s="901"/>
      <c r="BY164" s="901"/>
      <c r="BZ164" s="901"/>
      <c r="CA164" s="901"/>
      <c r="CB164" s="901"/>
      <c r="CC164" s="901"/>
      <c r="CD164" s="901"/>
      <c r="CE164" s="901"/>
      <c r="CF164" s="901"/>
      <c r="CG164" s="901"/>
      <c r="CH164" s="901"/>
      <c r="CI164" s="901"/>
      <c r="CJ164" s="901"/>
      <c r="CK164" s="901"/>
      <c r="CL164" s="901"/>
      <c r="CM164" s="901"/>
      <c r="CN164" s="901"/>
      <c r="CO164" s="901"/>
      <c r="CP164" s="901"/>
      <c r="CQ164" s="901"/>
      <c r="CR164" s="901"/>
      <c r="CS164" s="901"/>
      <c r="CT164" s="901"/>
      <c r="CU164" s="901"/>
      <c r="CV164" s="901"/>
      <c r="CW164" s="901"/>
      <c r="CX164" s="901"/>
      <c r="CY164" s="901"/>
      <c r="CZ164" s="901"/>
      <c r="DA164" s="901"/>
      <c r="DB164" s="901"/>
      <c r="DC164" s="901"/>
      <c r="DD164" s="901"/>
      <c r="DE164" s="901"/>
      <c r="DF164" s="901"/>
      <c r="DG164" s="901"/>
      <c r="DH164" s="901"/>
      <c r="DI164" s="901"/>
      <c r="DJ164" s="901"/>
      <c r="DK164" s="901"/>
      <c r="DL164" s="901"/>
      <c r="DM164" s="901"/>
      <c r="DN164" s="901"/>
      <c r="DO164" s="901"/>
      <c r="DP164" s="901"/>
      <c r="DQ164" s="901"/>
      <c r="DR164" s="901"/>
      <c r="DS164" s="901"/>
      <c r="DT164" s="901"/>
      <c r="DU164" s="901"/>
      <c r="DV164" s="901"/>
      <c r="DW164" s="901"/>
      <c r="DX164" s="901"/>
      <c r="DY164" s="901"/>
      <c r="DZ164" s="901"/>
      <c r="EA164" s="901"/>
      <c r="EB164" s="901"/>
      <c r="EC164" s="901"/>
      <c r="ED164" s="901"/>
      <c r="EE164" s="901"/>
      <c r="EF164" s="901"/>
      <c r="EG164" s="901"/>
      <c r="EH164" s="901"/>
      <c r="EI164" s="901"/>
      <c r="EJ164" s="901"/>
      <c r="EK164" s="901"/>
      <c r="EL164" s="901"/>
      <c r="EM164" s="901"/>
      <c r="EN164" s="1279"/>
      <c r="EO164" s="1279"/>
    </row>
    <row r="165" spans="1:145" ht="15">
      <c r="A165" s="1258" t="s">
        <v>1284</v>
      </c>
      <c r="B165" s="1259" t="s">
        <v>1292</v>
      </c>
      <c r="C165" s="1103"/>
      <c r="D165" s="1103"/>
      <c r="E165" s="995"/>
      <c r="F165" s="995"/>
      <c r="G165" s="996"/>
      <c r="H165" s="996"/>
      <c r="I165" s="996"/>
      <c r="J165" s="996"/>
      <c r="K165" s="1264">
        <v>5790</v>
      </c>
      <c r="L165" s="1217"/>
      <c r="M165" s="1104"/>
      <c r="N165" s="997"/>
      <c r="O165" s="1105"/>
      <c r="P165" s="998"/>
      <c r="Q165" s="998"/>
      <c r="R165" s="999"/>
      <c r="S165" s="998"/>
      <c r="T165" s="998"/>
      <c r="U165" s="998"/>
      <c r="V165" s="998"/>
      <c r="W165" s="1207"/>
      <c r="X165" s="1000"/>
      <c r="Y165" s="1000"/>
      <c r="Z165" s="1000"/>
      <c r="AA165" s="1000"/>
      <c r="AB165" s="1000"/>
      <c r="AC165" s="1000"/>
      <c r="AD165" s="1000"/>
      <c r="AE165" s="1000"/>
      <c r="AF165" s="1000"/>
      <c r="AG165" s="1000"/>
      <c r="AH165" s="1000"/>
      <c r="AI165" s="901"/>
      <c r="AJ165" s="1294"/>
      <c r="AK165" s="1294"/>
      <c r="AL165" s="1335"/>
      <c r="AM165" s="1336"/>
      <c r="AN165" s="1337"/>
      <c r="AO165" s="901"/>
      <c r="AP165" s="901"/>
      <c r="AQ165" s="1338"/>
      <c r="AR165" s="1335"/>
      <c r="AS165" s="1336"/>
      <c r="AT165" s="1335"/>
      <c r="AU165" s="1299"/>
      <c r="AV165" s="901"/>
      <c r="AW165" s="901"/>
      <c r="AX165" s="901"/>
      <c r="AY165" s="901"/>
      <c r="AZ165" s="901"/>
      <c r="BA165" s="901"/>
      <c r="BB165" s="901"/>
      <c r="BC165" s="901"/>
      <c r="BD165" s="901"/>
      <c r="BE165" s="901"/>
      <c r="BF165" s="901"/>
      <c r="BG165" s="901"/>
      <c r="BH165" s="901"/>
      <c r="BI165" s="901"/>
      <c r="BJ165" s="901"/>
      <c r="BK165" s="901"/>
      <c r="BL165" s="901"/>
      <c r="BM165" s="901"/>
      <c r="BN165" s="901"/>
      <c r="BO165" s="901"/>
      <c r="BP165" s="901"/>
      <c r="BQ165" s="901"/>
      <c r="BR165" s="901"/>
      <c r="BS165" s="901"/>
      <c r="BT165" s="901"/>
      <c r="BU165" s="901"/>
      <c r="BV165" s="901"/>
      <c r="BW165" s="901"/>
      <c r="BX165" s="901"/>
      <c r="BY165" s="901"/>
      <c r="BZ165" s="901"/>
      <c r="CA165" s="901"/>
      <c r="CB165" s="901"/>
      <c r="CC165" s="901"/>
      <c r="CD165" s="901"/>
      <c r="CE165" s="901"/>
      <c r="CF165" s="901"/>
      <c r="CG165" s="901"/>
      <c r="CH165" s="901"/>
      <c r="CI165" s="901"/>
      <c r="CJ165" s="901"/>
      <c r="CK165" s="901"/>
      <c r="CL165" s="901"/>
      <c r="CM165" s="901"/>
      <c r="CN165" s="901"/>
      <c r="CO165" s="901"/>
      <c r="CP165" s="901"/>
      <c r="CQ165" s="901"/>
      <c r="CR165" s="901"/>
      <c r="CS165" s="901"/>
      <c r="CT165" s="901"/>
      <c r="CU165" s="901"/>
      <c r="CV165" s="901"/>
      <c r="CW165" s="901"/>
      <c r="CX165" s="901"/>
      <c r="CY165" s="901"/>
      <c r="CZ165" s="901"/>
      <c r="DA165" s="901"/>
      <c r="DB165" s="901"/>
      <c r="DC165" s="901"/>
      <c r="DD165" s="901"/>
      <c r="DE165" s="901"/>
      <c r="DF165" s="901"/>
      <c r="DG165" s="901"/>
      <c r="DH165" s="901"/>
      <c r="DI165" s="901"/>
      <c r="DJ165" s="901"/>
      <c r="DK165" s="901"/>
      <c r="DL165" s="901"/>
      <c r="DM165" s="901"/>
      <c r="DN165" s="901"/>
      <c r="DO165" s="901"/>
      <c r="DP165" s="901"/>
      <c r="DQ165" s="901"/>
      <c r="DR165" s="901"/>
      <c r="DS165" s="901"/>
      <c r="DT165" s="901"/>
      <c r="DU165" s="901"/>
      <c r="DV165" s="901"/>
      <c r="DW165" s="901"/>
      <c r="DX165" s="901"/>
      <c r="DY165" s="901"/>
      <c r="DZ165" s="901"/>
      <c r="EA165" s="901"/>
      <c r="EB165" s="901"/>
      <c r="EC165" s="901"/>
      <c r="ED165" s="901"/>
      <c r="EE165" s="901"/>
      <c r="EF165" s="901"/>
      <c r="EG165" s="901"/>
      <c r="EH165" s="901"/>
      <c r="EI165" s="901"/>
      <c r="EJ165" s="901"/>
      <c r="EK165" s="901"/>
      <c r="EL165" s="901"/>
      <c r="EM165" s="901"/>
      <c r="EN165" s="1279"/>
      <c r="EO165" s="1279"/>
    </row>
    <row r="166" spans="1:145" ht="15">
      <c r="A166" s="1262" t="s">
        <v>120</v>
      </c>
      <c r="B166" s="1263" t="s">
        <v>1293</v>
      </c>
      <c r="C166" s="1103"/>
      <c r="D166" s="1103"/>
      <c r="E166" s="995"/>
      <c r="F166" s="995"/>
      <c r="G166" s="996"/>
      <c r="H166" s="996"/>
      <c r="I166" s="996"/>
      <c r="J166" s="996"/>
      <c r="K166" s="1264">
        <v>252950</v>
      </c>
      <c r="L166" s="1217"/>
      <c r="M166" s="1104"/>
      <c r="N166" s="997"/>
      <c r="O166" s="1105"/>
      <c r="P166" s="998"/>
      <c r="Q166" s="998"/>
      <c r="R166" s="999"/>
      <c r="S166" s="998"/>
      <c r="T166" s="998"/>
      <c r="U166" s="998"/>
      <c r="V166" s="998"/>
      <c r="W166" s="1207"/>
      <c r="X166" s="1000"/>
      <c r="Y166" s="1000"/>
      <c r="Z166" s="1000"/>
      <c r="AA166" s="1000"/>
      <c r="AB166" s="1000"/>
      <c r="AC166" s="1000"/>
      <c r="AD166" s="1000"/>
      <c r="AE166" s="1000"/>
      <c r="AF166" s="1000"/>
      <c r="AG166" s="1000"/>
      <c r="AH166" s="1000"/>
      <c r="AI166" s="901"/>
      <c r="AJ166" s="1294"/>
      <c r="AK166" s="1294"/>
      <c r="AL166" s="1335"/>
      <c r="AM166" s="1336"/>
      <c r="AN166" s="1337"/>
      <c r="AO166" s="901"/>
      <c r="AP166" s="901"/>
      <c r="AQ166" s="1338"/>
      <c r="AR166" s="1335"/>
      <c r="AS166" s="1336"/>
      <c r="AT166" s="1335"/>
      <c r="AU166" s="1299"/>
      <c r="AV166" s="901"/>
      <c r="AW166" s="901"/>
      <c r="AX166" s="901"/>
      <c r="AY166" s="901"/>
      <c r="AZ166" s="901"/>
      <c r="BA166" s="901"/>
      <c r="BB166" s="901"/>
      <c r="BC166" s="901"/>
      <c r="BD166" s="901"/>
      <c r="BE166" s="901"/>
      <c r="BF166" s="901"/>
      <c r="BG166" s="901"/>
      <c r="BH166" s="901"/>
      <c r="BI166" s="901"/>
      <c r="BJ166" s="901"/>
      <c r="BK166" s="901"/>
      <c r="BL166" s="901"/>
      <c r="BM166" s="901"/>
      <c r="BN166" s="901"/>
      <c r="BO166" s="901"/>
      <c r="BP166" s="901"/>
      <c r="BQ166" s="901"/>
      <c r="BR166" s="901"/>
      <c r="BS166" s="901"/>
      <c r="BT166" s="901"/>
      <c r="BU166" s="901"/>
      <c r="BV166" s="901"/>
      <c r="BW166" s="901"/>
      <c r="BX166" s="901"/>
      <c r="BY166" s="901"/>
      <c r="BZ166" s="901"/>
      <c r="CA166" s="901"/>
      <c r="CB166" s="901"/>
      <c r="CC166" s="901"/>
      <c r="CD166" s="901"/>
      <c r="CE166" s="901"/>
      <c r="CF166" s="901"/>
      <c r="CG166" s="901"/>
      <c r="CH166" s="901"/>
      <c r="CI166" s="901"/>
      <c r="CJ166" s="901"/>
      <c r="CK166" s="901"/>
      <c r="CL166" s="901"/>
      <c r="CM166" s="901"/>
      <c r="CN166" s="901"/>
      <c r="CO166" s="901"/>
      <c r="CP166" s="901"/>
      <c r="CQ166" s="901"/>
      <c r="CR166" s="901"/>
      <c r="CS166" s="901"/>
      <c r="CT166" s="901"/>
      <c r="CU166" s="901"/>
      <c r="CV166" s="901"/>
      <c r="CW166" s="901"/>
      <c r="CX166" s="901"/>
      <c r="CY166" s="901"/>
      <c r="CZ166" s="901"/>
      <c r="DA166" s="901"/>
      <c r="DB166" s="901"/>
      <c r="DC166" s="901"/>
      <c r="DD166" s="901"/>
      <c r="DE166" s="901"/>
      <c r="DF166" s="901"/>
      <c r="DG166" s="901"/>
      <c r="DH166" s="901"/>
      <c r="DI166" s="901"/>
      <c r="DJ166" s="901"/>
      <c r="DK166" s="901"/>
      <c r="DL166" s="901"/>
      <c r="DM166" s="901"/>
      <c r="DN166" s="901"/>
      <c r="DO166" s="901"/>
      <c r="DP166" s="901"/>
      <c r="DQ166" s="901"/>
      <c r="DR166" s="901"/>
      <c r="DS166" s="901"/>
      <c r="DT166" s="901"/>
      <c r="DU166" s="901"/>
      <c r="DV166" s="901"/>
      <c r="DW166" s="901"/>
      <c r="DX166" s="901"/>
      <c r="DY166" s="901"/>
      <c r="DZ166" s="901"/>
      <c r="EA166" s="901"/>
      <c r="EB166" s="901"/>
      <c r="EC166" s="901"/>
      <c r="ED166" s="901"/>
      <c r="EE166" s="901"/>
      <c r="EF166" s="901"/>
      <c r="EG166" s="901"/>
      <c r="EH166" s="901"/>
      <c r="EI166" s="901"/>
      <c r="EJ166" s="901"/>
      <c r="EK166" s="901"/>
      <c r="EL166" s="901"/>
      <c r="EM166" s="901"/>
      <c r="EN166" s="1279"/>
      <c r="EO166" s="1279"/>
    </row>
    <row r="167" spans="1:145" ht="15">
      <c r="A167" s="1258" t="s">
        <v>1285</v>
      </c>
      <c r="B167" s="1259" t="s">
        <v>1289</v>
      </c>
      <c r="C167" s="1103"/>
      <c r="D167" s="1103"/>
      <c r="E167" s="995"/>
      <c r="F167" s="995"/>
      <c r="G167" s="996"/>
      <c r="H167" s="996"/>
      <c r="I167" s="996"/>
      <c r="J167" s="996"/>
      <c r="K167" s="1264">
        <v>1049286</v>
      </c>
      <c r="L167" s="1217"/>
      <c r="M167" s="1104"/>
      <c r="N167" s="997"/>
      <c r="O167" s="1105"/>
      <c r="P167" s="998"/>
      <c r="Q167" s="998"/>
      <c r="R167" s="999"/>
      <c r="S167" s="998"/>
      <c r="T167" s="998"/>
      <c r="U167" s="998"/>
      <c r="V167" s="998"/>
      <c r="W167" s="1207"/>
      <c r="X167" s="1000"/>
      <c r="Y167" s="1000"/>
      <c r="Z167" s="1000"/>
      <c r="AA167" s="1000"/>
      <c r="AB167" s="1000"/>
      <c r="AC167" s="1000"/>
      <c r="AD167" s="1000"/>
      <c r="AE167" s="1000"/>
      <c r="AF167" s="1000"/>
      <c r="AG167" s="1000"/>
      <c r="AH167" s="1000"/>
      <c r="AI167" s="901"/>
      <c r="AJ167" s="1294"/>
      <c r="AK167" s="1294"/>
      <c r="AL167" s="1335"/>
      <c r="AM167" s="1336"/>
      <c r="AN167" s="1337"/>
      <c r="AO167" s="901"/>
      <c r="AP167" s="901"/>
      <c r="AQ167" s="1338"/>
      <c r="AR167" s="1335"/>
      <c r="AS167" s="1336"/>
      <c r="AT167" s="1335"/>
      <c r="AU167" s="1299"/>
      <c r="AV167" s="901"/>
      <c r="AW167" s="901"/>
      <c r="AX167" s="901"/>
      <c r="AY167" s="901"/>
      <c r="AZ167" s="901"/>
      <c r="BA167" s="901"/>
      <c r="BB167" s="901"/>
      <c r="BC167" s="901"/>
      <c r="BD167" s="901"/>
      <c r="BE167" s="901"/>
      <c r="BF167" s="901"/>
      <c r="BG167" s="901"/>
      <c r="BH167" s="901"/>
      <c r="BI167" s="901"/>
      <c r="BJ167" s="901"/>
      <c r="BK167" s="901"/>
      <c r="BL167" s="901"/>
      <c r="BM167" s="901"/>
      <c r="BN167" s="901"/>
      <c r="BO167" s="901"/>
      <c r="BP167" s="901"/>
      <c r="BQ167" s="901"/>
      <c r="BR167" s="901"/>
      <c r="BS167" s="901"/>
      <c r="BT167" s="901"/>
      <c r="BU167" s="901"/>
      <c r="BV167" s="901"/>
      <c r="BW167" s="901"/>
      <c r="BX167" s="901"/>
      <c r="BY167" s="901"/>
      <c r="BZ167" s="901"/>
      <c r="CA167" s="901"/>
      <c r="CB167" s="901"/>
      <c r="CC167" s="901"/>
      <c r="CD167" s="901"/>
      <c r="CE167" s="901"/>
      <c r="CF167" s="901"/>
      <c r="CG167" s="901"/>
      <c r="CH167" s="901"/>
      <c r="CI167" s="901"/>
      <c r="CJ167" s="901"/>
      <c r="CK167" s="901"/>
      <c r="CL167" s="901"/>
      <c r="CM167" s="901"/>
      <c r="CN167" s="901"/>
      <c r="CO167" s="901"/>
      <c r="CP167" s="901"/>
      <c r="CQ167" s="901"/>
      <c r="CR167" s="901"/>
      <c r="CS167" s="901"/>
      <c r="CT167" s="901"/>
      <c r="CU167" s="901"/>
      <c r="CV167" s="901"/>
      <c r="CW167" s="901"/>
      <c r="CX167" s="901"/>
      <c r="CY167" s="901"/>
      <c r="CZ167" s="901"/>
      <c r="DA167" s="901"/>
      <c r="DB167" s="901"/>
      <c r="DC167" s="901"/>
      <c r="DD167" s="901"/>
      <c r="DE167" s="901"/>
      <c r="DF167" s="901"/>
      <c r="DG167" s="901"/>
      <c r="DH167" s="901"/>
      <c r="DI167" s="901"/>
      <c r="DJ167" s="901"/>
      <c r="DK167" s="901"/>
      <c r="DL167" s="901"/>
      <c r="DM167" s="901"/>
      <c r="DN167" s="901"/>
      <c r="DO167" s="901"/>
      <c r="DP167" s="901"/>
      <c r="DQ167" s="901"/>
      <c r="DR167" s="901"/>
      <c r="DS167" s="901"/>
      <c r="DT167" s="901"/>
      <c r="DU167" s="901"/>
      <c r="DV167" s="901"/>
      <c r="DW167" s="901"/>
      <c r="DX167" s="901"/>
      <c r="DY167" s="901"/>
      <c r="DZ167" s="901"/>
      <c r="EA167" s="901"/>
      <c r="EB167" s="901"/>
      <c r="EC167" s="901"/>
      <c r="ED167" s="901"/>
      <c r="EE167" s="901"/>
      <c r="EF167" s="901"/>
      <c r="EG167" s="901"/>
      <c r="EH167" s="901"/>
      <c r="EI167" s="901"/>
      <c r="EJ167" s="901"/>
      <c r="EK167" s="901"/>
      <c r="EL167" s="901"/>
      <c r="EM167" s="901"/>
      <c r="EN167" s="1279"/>
      <c r="EO167" s="1279"/>
    </row>
    <row r="168" spans="1:145" ht="15">
      <c r="A168" s="1258" t="s">
        <v>1286</v>
      </c>
      <c r="B168" s="1259" t="s">
        <v>1289</v>
      </c>
      <c r="C168" s="1103"/>
      <c r="D168" s="1103"/>
      <c r="E168" s="995"/>
      <c r="F168" s="995"/>
      <c r="G168" s="996"/>
      <c r="H168" s="996"/>
      <c r="I168" s="996"/>
      <c r="J168" s="996"/>
      <c r="K168" s="1264">
        <v>1608240</v>
      </c>
      <c r="L168" s="1217"/>
      <c r="M168" s="1104"/>
      <c r="N168" s="997"/>
      <c r="O168" s="1105"/>
      <c r="P168" s="998"/>
      <c r="Q168" s="998"/>
      <c r="R168" s="999"/>
      <c r="S168" s="998"/>
      <c r="T168" s="998"/>
      <c r="U168" s="998"/>
      <c r="V168" s="998"/>
      <c r="W168" s="1207"/>
      <c r="X168" s="1000"/>
      <c r="Y168" s="1000"/>
      <c r="Z168" s="1000"/>
      <c r="AA168" s="1000"/>
      <c r="AB168" s="1000"/>
      <c r="AC168" s="1000"/>
      <c r="AD168" s="1000"/>
      <c r="AE168" s="1000"/>
      <c r="AF168" s="1000"/>
      <c r="AG168" s="1000"/>
      <c r="AH168" s="1000"/>
      <c r="AI168" s="901"/>
      <c r="AJ168" s="1294"/>
      <c r="AK168" s="1294"/>
      <c r="AL168" s="1335"/>
      <c r="AM168" s="1336"/>
      <c r="AN168" s="1337"/>
      <c r="AO168" s="901"/>
      <c r="AP168" s="901"/>
      <c r="AQ168" s="1338"/>
      <c r="AR168" s="1335"/>
      <c r="AS168" s="1336"/>
      <c r="AT168" s="1335"/>
      <c r="AU168" s="1299"/>
      <c r="AV168" s="901"/>
      <c r="AW168" s="901"/>
      <c r="AX168" s="901"/>
      <c r="AY168" s="901"/>
      <c r="AZ168" s="901"/>
      <c r="BA168" s="901"/>
      <c r="BB168" s="901"/>
      <c r="BC168" s="901"/>
      <c r="BD168" s="901"/>
      <c r="BE168" s="901"/>
      <c r="BF168" s="901"/>
      <c r="BG168" s="901"/>
      <c r="BH168" s="901"/>
      <c r="BI168" s="901"/>
      <c r="BJ168" s="901"/>
      <c r="BK168" s="901"/>
      <c r="BL168" s="901"/>
      <c r="BM168" s="901"/>
      <c r="BN168" s="901"/>
      <c r="BO168" s="901"/>
      <c r="BP168" s="901"/>
      <c r="BQ168" s="901"/>
      <c r="BR168" s="901"/>
      <c r="BS168" s="901"/>
      <c r="BT168" s="901"/>
      <c r="BU168" s="901"/>
      <c r="BV168" s="901"/>
      <c r="BW168" s="901"/>
      <c r="BX168" s="901"/>
      <c r="BY168" s="901"/>
      <c r="BZ168" s="901"/>
      <c r="CA168" s="901"/>
      <c r="CB168" s="901"/>
      <c r="CC168" s="901"/>
      <c r="CD168" s="901"/>
      <c r="CE168" s="901"/>
      <c r="CF168" s="901"/>
      <c r="CG168" s="901"/>
      <c r="CH168" s="901"/>
      <c r="CI168" s="901"/>
      <c r="CJ168" s="901"/>
      <c r="CK168" s="901"/>
      <c r="CL168" s="901"/>
      <c r="CM168" s="901"/>
      <c r="CN168" s="901"/>
      <c r="CO168" s="901"/>
      <c r="CP168" s="901"/>
      <c r="CQ168" s="901"/>
      <c r="CR168" s="901"/>
      <c r="CS168" s="901"/>
      <c r="CT168" s="901"/>
      <c r="CU168" s="901"/>
      <c r="CV168" s="901"/>
      <c r="CW168" s="901"/>
      <c r="CX168" s="901"/>
      <c r="CY168" s="901"/>
      <c r="CZ168" s="901"/>
      <c r="DA168" s="901"/>
      <c r="DB168" s="901"/>
      <c r="DC168" s="901"/>
      <c r="DD168" s="901"/>
      <c r="DE168" s="901"/>
      <c r="DF168" s="901"/>
      <c r="DG168" s="901"/>
      <c r="DH168" s="901"/>
      <c r="DI168" s="901"/>
      <c r="DJ168" s="901"/>
      <c r="DK168" s="901"/>
      <c r="DL168" s="901"/>
      <c r="DM168" s="901"/>
      <c r="DN168" s="901"/>
      <c r="DO168" s="901"/>
      <c r="DP168" s="901"/>
      <c r="DQ168" s="901"/>
      <c r="DR168" s="901"/>
      <c r="DS168" s="901"/>
      <c r="DT168" s="901"/>
      <c r="DU168" s="901"/>
      <c r="DV168" s="901"/>
      <c r="DW168" s="901"/>
      <c r="DX168" s="901"/>
      <c r="DY168" s="901"/>
      <c r="DZ168" s="901"/>
      <c r="EA168" s="901"/>
      <c r="EB168" s="901"/>
      <c r="EC168" s="901"/>
      <c r="ED168" s="901"/>
      <c r="EE168" s="901"/>
      <c r="EF168" s="901"/>
      <c r="EG168" s="901"/>
      <c r="EH168" s="901"/>
      <c r="EI168" s="901"/>
      <c r="EJ168" s="901"/>
      <c r="EK168" s="901"/>
      <c r="EL168" s="901"/>
      <c r="EM168" s="901"/>
      <c r="EN168" s="1279"/>
      <c r="EO168" s="1279"/>
    </row>
    <row r="169" spans="1:145" ht="15">
      <c r="A169" s="1258" t="s">
        <v>1287</v>
      </c>
      <c r="B169" s="1259"/>
      <c r="C169" s="1103"/>
      <c r="D169" s="1103"/>
      <c r="E169" s="995"/>
      <c r="F169" s="995"/>
      <c r="G169" s="996"/>
      <c r="H169" s="996"/>
      <c r="I169" s="996"/>
      <c r="J169" s="996"/>
      <c r="K169" s="1264">
        <v>2500</v>
      </c>
      <c r="L169" s="1217"/>
      <c r="M169" s="1104"/>
      <c r="N169" s="997"/>
      <c r="O169" s="1105"/>
      <c r="P169" s="998"/>
      <c r="Q169" s="998"/>
      <c r="R169" s="999"/>
      <c r="S169" s="998"/>
      <c r="T169" s="998"/>
      <c r="U169" s="998"/>
      <c r="V169" s="998"/>
      <c r="W169" s="1207"/>
      <c r="X169" s="1000"/>
      <c r="Y169" s="1000"/>
      <c r="Z169" s="1000"/>
      <c r="AA169" s="1000"/>
      <c r="AB169" s="1000"/>
      <c r="AC169" s="1000"/>
      <c r="AD169" s="1000"/>
      <c r="AE169" s="1000"/>
      <c r="AF169" s="1000"/>
      <c r="AG169" s="1000"/>
      <c r="AH169" s="1000"/>
      <c r="AI169" s="901"/>
      <c r="AJ169" s="1294"/>
      <c r="AK169" s="1294"/>
      <c r="AL169" s="1335"/>
      <c r="AM169" s="1336"/>
      <c r="AN169" s="1337"/>
      <c r="AO169" s="901"/>
      <c r="AP169" s="901"/>
      <c r="AQ169" s="1338"/>
      <c r="AR169" s="1335"/>
      <c r="AS169" s="1336"/>
      <c r="AT169" s="1335"/>
      <c r="AU169" s="1299"/>
      <c r="AV169" s="901"/>
      <c r="AW169" s="901"/>
      <c r="AX169" s="901"/>
      <c r="AY169" s="901"/>
      <c r="AZ169" s="901"/>
      <c r="BA169" s="901"/>
      <c r="BB169" s="901"/>
      <c r="BC169" s="901"/>
      <c r="BD169" s="901"/>
      <c r="BE169" s="901"/>
      <c r="BF169" s="901"/>
      <c r="BG169" s="901"/>
      <c r="BH169" s="901"/>
      <c r="BI169" s="901"/>
      <c r="BJ169" s="901"/>
      <c r="BK169" s="901"/>
      <c r="BL169" s="901"/>
      <c r="BM169" s="901"/>
      <c r="BN169" s="901"/>
      <c r="BO169" s="901"/>
      <c r="BP169" s="901"/>
      <c r="BQ169" s="901"/>
      <c r="BR169" s="901"/>
      <c r="BS169" s="901"/>
      <c r="BT169" s="901"/>
      <c r="BU169" s="901"/>
      <c r="BV169" s="901"/>
      <c r="BW169" s="901"/>
      <c r="BX169" s="901"/>
      <c r="BY169" s="901"/>
      <c r="BZ169" s="901"/>
      <c r="CA169" s="901"/>
      <c r="CB169" s="901"/>
      <c r="CC169" s="901"/>
      <c r="CD169" s="901"/>
      <c r="CE169" s="901"/>
      <c r="CF169" s="901"/>
      <c r="CG169" s="901"/>
      <c r="CH169" s="901"/>
      <c r="CI169" s="901"/>
      <c r="CJ169" s="901"/>
      <c r="CK169" s="901"/>
      <c r="CL169" s="901"/>
      <c r="CM169" s="901"/>
      <c r="CN169" s="901"/>
      <c r="CO169" s="901"/>
      <c r="CP169" s="901"/>
      <c r="CQ169" s="901"/>
      <c r="CR169" s="901"/>
      <c r="CS169" s="901"/>
      <c r="CT169" s="901"/>
      <c r="CU169" s="901"/>
      <c r="CV169" s="901"/>
      <c r="CW169" s="901"/>
      <c r="CX169" s="901"/>
      <c r="CY169" s="901"/>
      <c r="CZ169" s="901"/>
      <c r="DA169" s="901"/>
      <c r="DB169" s="901"/>
      <c r="DC169" s="901"/>
      <c r="DD169" s="901"/>
      <c r="DE169" s="901"/>
      <c r="DF169" s="901"/>
      <c r="DG169" s="901"/>
      <c r="DH169" s="901"/>
      <c r="DI169" s="901"/>
      <c r="DJ169" s="901"/>
      <c r="DK169" s="901"/>
      <c r="DL169" s="901"/>
      <c r="DM169" s="901"/>
      <c r="DN169" s="901"/>
      <c r="DO169" s="901"/>
      <c r="DP169" s="901"/>
      <c r="DQ169" s="901"/>
      <c r="DR169" s="901"/>
      <c r="DS169" s="901"/>
      <c r="DT169" s="901"/>
      <c r="DU169" s="901"/>
      <c r="DV169" s="901"/>
      <c r="DW169" s="901"/>
      <c r="DX169" s="901"/>
      <c r="DY169" s="901"/>
      <c r="DZ169" s="901"/>
      <c r="EA169" s="901"/>
      <c r="EB169" s="901"/>
      <c r="EC169" s="901"/>
      <c r="ED169" s="901"/>
      <c r="EE169" s="901"/>
      <c r="EF169" s="901"/>
      <c r="EG169" s="901"/>
      <c r="EH169" s="901"/>
      <c r="EI169" s="901"/>
      <c r="EJ169" s="901"/>
      <c r="EK169" s="901"/>
      <c r="EL169" s="901"/>
      <c r="EM169" s="901"/>
      <c r="EN169" s="1279"/>
      <c r="EO169" s="1279"/>
    </row>
    <row r="170" spans="1:145" ht="30.75">
      <c r="A170" s="1258" t="s">
        <v>1288</v>
      </c>
      <c r="B170" s="1259"/>
      <c r="C170" s="1103"/>
      <c r="D170" s="1103"/>
      <c r="E170" s="995"/>
      <c r="F170" s="995"/>
      <c r="G170" s="996"/>
      <c r="H170" s="996"/>
      <c r="I170" s="996"/>
      <c r="J170" s="996"/>
      <c r="K170" s="1264">
        <v>50000</v>
      </c>
      <c r="L170" s="1217"/>
      <c r="M170" s="1104"/>
      <c r="N170" s="997"/>
      <c r="O170" s="1105"/>
      <c r="P170" s="998"/>
      <c r="Q170" s="998"/>
      <c r="R170" s="999"/>
      <c r="S170" s="998"/>
      <c r="T170" s="998"/>
      <c r="U170" s="998"/>
      <c r="V170" s="998"/>
      <c r="W170" s="1207"/>
      <c r="X170" s="1000"/>
      <c r="Y170" s="1000"/>
      <c r="Z170" s="1000"/>
      <c r="AA170" s="1000"/>
      <c r="AB170" s="1000"/>
      <c r="AC170" s="1000"/>
      <c r="AD170" s="1000"/>
      <c r="AE170" s="1000"/>
      <c r="AF170" s="1000"/>
      <c r="AG170" s="1000"/>
      <c r="AH170" s="1000"/>
      <c r="AI170" s="901"/>
      <c r="AJ170" s="1294"/>
      <c r="AK170" s="1294"/>
      <c r="AL170" s="1335"/>
      <c r="AM170" s="1336"/>
      <c r="AN170" s="1337"/>
      <c r="AO170" s="901"/>
      <c r="AP170" s="901"/>
      <c r="AQ170" s="1338"/>
      <c r="AR170" s="1335"/>
      <c r="AS170" s="1336"/>
      <c r="AT170" s="1335"/>
      <c r="AU170" s="1299"/>
      <c r="AV170" s="901"/>
      <c r="AW170" s="901"/>
      <c r="AX170" s="901"/>
      <c r="AY170" s="901"/>
      <c r="AZ170" s="901"/>
      <c r="BA170" s="901"/>
      <c r="BB170" s="901"/>
      <c r="BC170" s="901"/>
      <c r="BD170" s="901"/>
      <c r="BE170" s="901"/>
      <c r="BF170" s="901"/>
      <c r="BG170" s="901"/>
      <c r="BH170" s="901"/>
      <c r="BI170" s="901"/>
      <c r="BJ170" s="901"/>
      <c r="BK170" s="901"/>
      <c r="BL170" s="901"/>
      <c r="BM170" s="901"/>
      <c r="BN170" s="901"/>
      <c r="BO170" s="901"/>
      <c r="BP170" s="901"/>
      <c r="BQ170" s="901"/>
      <c r="BR170" s="901"/>
      <c r="BS170" s="901"/>
      <c r="BT170" s="901"/>
      <c r="BU170" s="901"/>
      <c r="BV170" s="901"/>
      <c r="BW170" s="901"/>
      <c r="BX170" s="901"/>
      <c r="BY170" s="901"/>
      <c r="BZ170" s="901"/>
      <c r="CA170" s="901"/>
      <c r="CB170" s="901"/>
      <c r="CC170" s="901"/>
      <c r="CD170" s="901"/>
      <c r="CE170" s="901"/>
      <c r="CF170" s="901"/>
      <c r="CG170" s="901"/>
      <c r="CH170" s="901"/>
      <c r="CI170" s="901"/>
      <c r="CJ170" s="901"/>
      <c r="CK170" s="901"/>
      <c r="CL170" s="901"/>
      <c r="CM170" s="901"/>
      <c r="CN170" s="901"/>
      <c r="CO170" s="901"/>
      <c r="CP170" s="901"/>
      <c r="CQ170" s="901"/>
      <c r="CR170" s="901"/>
      <c r="CS170" s="901"/>
      <c r="CT170" s="901"/>
      <c r="CU170" s="901"/>
      <c r="CV170" s="901"/>
      <c r="CW170" s="901"/>
      <c r="CX170" s="901"/>
      <c r="CY170" s="901"/>
      <c r="CZ170" s="901"/>
      <c r="DA170" s="901"/>
      <c r="DB170" s="901"/>
      <c r="DC170" s="901"/>
      <c r="DD170" s="901"/>
      <c r="DE170" s="901"/>
      <c r="DF170" s="901"/>
      <c r="DG170" s="901"/>
      <c r="DH170" s="901"/>
      <c r="DI170" s="901"/>
      <c r="DJ170" s="901"/>
      <c r="DK170" s="901"/>
      <c r="DL170" s="901"/>
      <c r="DM170" s="901"/>
      <c r="DN170" s="901"/>
      <c r="DO170" s="901"/>
      <c r="DP170" s="901"/>
      <c r="DQ170" s="901"/>
      <c r="DR170" s="901"/>
      <c r="DS170" s="901"/>
      <c r="DT170" s="901"/>
      <c r="DU170" s="901"/>
      <c r="DV170" s="901"/>
      <c r="DW170" s="901"/>
      <c r="DX170" s="901"/>
      <c r="DY170" s="901"/>
      <c r="DZ170" s="901"/>
      <c r="EA170" s="901"/>
      <c r="EB170" s="901"/>
      <c r="EC170" s="901"/>
      <c r="ED170" s="901"/>
      <c r="EE170" s="901"/>
      <c r="EF170" s="901"/>
      <c r="EG170" s="901"/>
      <c r="EH170" s="901"/>
      <c r="EI170" s="901"/>
      <c r="EJ170" s="901"/>
      <c r="EK170" s="901"/>
      <c r="EL170" s="901"/>
      <c r="EM170" s="901"/>
      <c r="EN170" s="1279"/>
      <c r="EO170" s="1279"/>
    </row>
    <row r="171" spans="1:145" ht="15" hidden="1">
      <c r="A171" s="1262" t="s">
        <v>1275</v>
      </c>
      <c r="B171" s="1259" t="s">
        <v>1280</v>
      </c>
      <c r="C171" s="1103"/>
      <c r="D171" s="1103"/>
      <c r="E171" s="995"/>
      <c r="F171" s="995"/>
      <c r="G171" s="996"/>
      <c r="H171" s="996"/>
      <c r="I171" s="996"/>
      <c r="J171" s="996"/>
      <c r="K171" s="996">
        <v>24226</v>
      </c>
      <c r="L171" s="1217"/>
      <c r="M171" s="1104"/>
      <c r="N171" s="997"/>
      <c r="O171" s="1105"/>
      <c r="P171" s="998"/>
      <c r="Q171" s="998"/>
      <c r="R171" s="999"/>
      <c r="S171" s="998"/>
      <c r="T171" s="998"/>
      <c r="U171" s="998"/>
      <c r="V171" s="998"/>
      <c r="W171" s="1207"/>
      <c r="X171" s="1000"/>
      <c r="Y171" s="1000"/>
      <c r="Z171" s="1000"/>
      <c r="AA171" s="1000"/>
      <c r="AB171" s="1000"/>
      <c r="AC171" s="1000"/>
      <c r="AD171" s="1000"/>
      <c r="AE171" s="1000"/>
      <c r="AF171" s="1000"/>
      <c r="AG171" s="1000"/>
      <c r="AH171" s="1000"/>
      <c r="AI171" s="901"/>
      <c r="AJ171" s="1294"/>
      <c r="AK171" s="1294"/>
      <c r="AL171" s="1335"/>
      <c r="AM171" s="1336"/>
      <c r="AN171" s="1337"/>
      <c r="AO171" s="901"/>
      <c r="AP171" s="901"/>
      <c r="AQ171" s="1338"/>
      <c r="AR171" s="1335"/>
      <c r="AS171" s="1336"/>
      <c r="AT171" s="1335"/>
      <c r="AU171" s="1299"/>
      <c r="AV171" s="901"/>
      <c r="AW171" s="901"/>
      <c r="AX171" s="901"/>
      <c r="AY171" s="901"/>
      <c r="AZ171" s="901"/>
      <c r="BA171" s="901"/>
      <c r="BB171" s="901"/>
      <c r="BC171" s="901"/>
      <c r="BD171" s="901"/>
      <c r="BE171" s="901"/>
      <c r="BF171" s="901"/>
      <c r="BG171" s="901"/>
      <c r="BH171" s="901"/>
      <c r="BI171" s="901"/>
      <c r="BJ171" s="901"/>
      <c r="BK171" s="901"/>
      <c r="BL171" s="901"/>
      <c r="BM171" s="901"/>
      <c r="BN171" s="901"/>
      <c r="BO171" s="901"/>
      <c r="BP171" s="901"/>
      <c r="BQ171" s="901"/>
      <c r="BR171" s="901"/>
      <c r="BS171" s="901"/>
      <c r="BT171" s="901"/>
      <c r="BU171" s="901"/>
      <c r="BV171" s="901"/>
      <c r="BW171" s="901"/>
      <c r="BX171" s="901"/>
      <c r="BY171" s="901"/>
      <c r="BZ171" s="901"/>
      <c r="CA171" s="901"/>
      <c r="CB171" s="901"/>
      <c r="CC171" s="901"/>
      <c r="CD171" s="901"/>
      <c r="CE171" s="901"/>
      <c r="CF171" s="901"/>
      <c r="CG171" s="901"/>
      <c r="CH171" s="901"/>
      <c r="CI171" s="901"/>
      <c r="CJ171" s="901"/>
      <c r="CK171" s="901"/>
      <c r="CL171" s="901"/>
      <c r="CM171" s="901"/>
      <c r="CN171" s="901"/>
      <c r="CO171" s="901"/>
      <c r="CP171" s="901"/>
      <c r="CQ171" s="901"/>
      <c r="CR171" s="901"/>
      <c r="CS171" s="901"/>
      <c r="CT171" s="901"/>
      <c r="CU171" s="901"/>
      <c r="CV171" s="901"/>
      <c r="CW171" s="901"/>
      <c r="CX171" s="901"/>
      <c r="CY171" s="901"/>
      <c r="CZ171" s="901"/>
      <c r="DA171" s="901"/>
      <c r="DB171" s="901"/>
      <c r="DC171" s="901"/>
      <c r="DD171" s="901"/>
      <c r="DE171" s="901"/>
      <c r="DF171" s="901"/>
      <c r="DG171" s="901"/>
      <c r="DH171" s="901"/>
      <c r="DI171" s="901"/>
      <c r="DJ171" s="901"/>
      <c r="DK171" s="901"/>
      <c r="DL171" s="901"/>
      <c r="DM171" s="901"/>
      <c r="DN171" s="901"/>
      <c r="DO171" s="901"/>
      <c r="DP171" s="901"/>
      <c r="DQ171" s="901"/>
      <c r="DR171" s="901"/>
      <c r="DS171" s="901"/>
      <c r="DT171" s="901"/>
      <c r="DU171" s="901"/>
      <c r="DV171" s="901"/>
      <c r="DW171" s="901"/>
      <c r="DX171" s="901"/>
      <c r="DY171" s="901"/>
      <c r="DZ171" s="901"/>
      <c r="EA171" s="901"/>
      <c r="EB171" s="901"/>
      <c r="EC171" s="901"/>
      <c r="ED171" s="901"/>
      <c r="EE171" s="901"/>
      <c r="EF171" s="901"/>
      <c r="EG171" s="901"/>
      <c r="EH171" s="901"/>
      <c r="EI171" s="901"/>
      <c r="EJ171" s="901"/>
      <c r="EK171" s="901"/>
      <c r="EL171" s="901"/>
      <c r="EM171" s="901"/>
      <c r="EN171" s="1279"/>
      <c r="EO171" s="1279"/>
    </row>
    <row r="172" spans="1:145" s="972" customFormat="1" ht="15">
      <c r="A172" s="1011" t="s">
        <v>25</v>
      </c>
      <c r="B172" s="1028"/>
      <c r="C172" s="1103"/>
      <c r="D172" s="1103"/>
      <c r="E172" s="995"/>
      <c r="F172" s="995"/>
      <c r="G172" s="996"/>
      <c r="H172" s="996"/>
      <c r="I172" s="996"/>
      <c r="J172" s="996"/>
      <c r="K172" s="1104"/>
      <c r="L172" s="1145">
        <v>1400000</v>
      </c>
      <c r="M172" s="1180"/>
      <c r="N172" s="1103"/>
      <c r="O172" s="1111"/>
      <c r="P172" s="1103" t="s">
        <v>25</v>
      </c>
      <c r="Q172" s="1103"/>
      <c r="R172" s="1103" t="s">
        <v>25</v>
      </c>
      <c r="S172" s="1092" t="s">
        <v>25</v>
      </c>
      <c r="T172" s="1092"/>
      <c r="U172" s="1092"/>
      <c r="V172" s="1092"/>
      <c r="W172" s="1108"/>
      <c r="X172" s="1109" t="s">
        <v>25</v>
      </c>
      <c r="Y172" s="1109"/>
      <c r="Z172" s="1109"/>
      <c r="AA172" s="1109"/>
      <c r="AB172" s="1109"/>
      <c r="AC172" s="1109"/>
      <c r="AD172" s="1109"/>
      <c r="AE172" s="1109"/>
      <c r="AF172" s="1109"/>
      <c r="AG172" s="1109"/>
      <c r="AH172" s="1109"/>
      <c r="AI172" s="1279"/>
      <c r="AJ172" s="1294"/>
      <c r="AK172" s="1294"/>
      <c r="AL172" s="1295"/>
      <c r="AM172" s="1296"/>
      <c r="AN172" s="1297"/>
      <c r="AO172" s="1279"/>
      <c r="AP172" s="1279"/>
      <c r="AQ172" s="1298"/>
      <c r="AR172" s="1295"/>
      <c r="AS172" s="1296"/>
      <c r="AT172" s="1295"/>
      <c r="AU172" s="1299"/>
      <c r="AV172" s="875"/>
      <c r="AW172" s="875"/>
      <c r="AX172" s="875"/>
      <c r="AY172" s="1279"/>
      <c r="AZ172" s="1279"/>
      <c r="BA172" s="1279"/>
      <c r="BB172" s="1279"/>
      <c r="BC172" s="1279"/>
      <c r="BD172" s="1279"/>
      <c r="BE172" s="1279"/>
      <c r="BF172" s="1279"/>
      <c r="BG172" s="1279"/>
      <c r="BH172" s="1279"/>
      <c r="BI172" s="1279"/>
      <c r="BJ172" s="1279"/>
      <c r="BK172" s="1279"/>
      <c r="BL172" s="1279"/>
      <c r="BM172" s="1279"/>
      <c r="BN172" s="1279"/>
      <c r="BO172" s="1279"/>
      <c r="BP172" s="1279"/>
      <c r="BQ172" s="1279"/>
      <c r="BR172" s="1279"/>
      <c r="BS172" s="1279"/>
      <c r="BT172" s="1279"/>
      <c r="BU172" s="1279"/>
      <c r="BV172" s="1279"/>
      <c r="BW172" s="1279"/>
      <c r="BX172" s="1279"/>
      <c r="BY172" s="1279"/>
      <c r="BZ172" s="1279"/>
      <c r="CA172" s="1279"/>
      <c r="CB172" s="1279"/>
      <c r="CC172" s="1279"/>
      <c r="CD172" s="1279"/>
      <c r="CE172" s="1279"/>
      <c r="CF172" s="1279"/>
      <c r="CG172" s="1279"/>
      <c r="CH172" s="1279"/>
      <c r="CI172" s="1279"/>
      <c r="CJ172" s="1279"/>
      <c r="CK172" s="1279"/>
      <c r="CL172" s="1279"/>
      <c r="CM172" s="1279"/>
      <c r="CN172" s="1279"/>
      <c r="CO172" s="1279"/>
      <c r="CP172" s="1279"/>
      <c r="CQ172" s="1279"/>
      <c r="CR172" s="1279"/>
      <c r="CS172" s="1279"/>
      <c r="CT172" s="1279"/>
      <c r="CU172" s="1279"/>
      <c r="CV172" s="1279"/>
      <c r="CW172" s="1279"/>
      <c r="CX172" s="1279"/>
      <c r="CY172" s="1279"/>
      <c r="CZ172" s="1279"/>
      <c r="DA172" s="1279"/>
      <c r="DB172" s="1279"/>
      <c r="DC172" s="1279"/>
      <c r="DD172" s="1279"/>
      <c r="DE172" s="1279"/>
      <c r="DF172" s="1279"/>
      <c r="DG172" s="1279"/>
      <c r="DH172" s="1279"/>
      <c r="DI172" s="1279"/>
      <c r="DJ172" s="1279"/>
      <c r="DK172" s="1279"/>
      <c r="DL172" s="1279"/>
      <c r="DM172" s="1279"/>
      <c r="DN172" s="1279"/>
      <c r="DO172" s="1279"/>
      <c r="DP172" s="1279"/>
      <c r="DQ172" s="1279"/>
      <c r="DR172" s="1279"/>
      <c r="DS172" s="1279"/>
      <c r="DT172" s="1279"/>
      <c r="DU172" s="1279"/>
      <c r="DV172" s="1279"/>
      <c r="DW172" s="1279"/>
      <c r="DX172" s="1279"/>
      <c r="DY172" s="1279"/>
      <c r="DZ172" s="1279"/>
      <c r="EA172" s="1279"/>
      <c r="EB172" s="1279"/>
      <c r="EC172" s="1279"/>
      <c r="ED172" s="1279"/>
      <c r="EE172" s="1279"/>
      <c r="EF172" s="1279"/>
      <c r="EG172" s="1279"/>
      <c r="EH172" s="1279"/>
      <c r="EI172" s="1279"/>
      <c r="EJ172" s="1279"/>
      <c r="EK172" s="1279"/>
      <c r="EL172" s="1279"/>
      <c r="EM172" s="1279"/>
      <c r="EN172" s="1056"/>
      <c r="EO172" s="1056"/>
    </row>
    <row r="173" spans="1:145" s="972" customFormat="1" ht="14.25" customHeight="1">
      <c r="A173" s="1175" t="s">
        <v>925</v>
      </c>
      <c r="B173" s="1091"/>
      <c r="C173" s="1092" t="s">
        <v>25</v>
      </c>
      <c r="D173" s="1092"/>
      <c r="E173" s="1093"/>
      <c r="F173" s="1093"/>
      <c r="G173" s="1106"/>
      <c r="H173" s="1106"/>
      <c r="I173" s="1106"/>
      <c r="J173" s="1106"/>
      <c r="K173" s="1180">
        <f>SUM(K174:K177)</f>
        <v>1810205</v>
      </c>
      <c r="L173" s="1223"/>
      <c r="M173" s="1224"/>
      <c r="N173" s="1092"/>
      <c r="O173" s="1107"/>
      <c r="P173" s="1092"/>
      <c r="Q173" s="1092"/>
      <c r="R173" s="1092"/>
      <c r="S173" s="1103"/>
      <c r="T173" s="1103"/>
      <c r="U173" s="1103"/>
      <c r="V173" s="1103"/>
      <c r="W173" s="1112"/>
      <c r="X173" s="1113"/>
      <c r="Y173" s="1113"/>
      <c r="Z173" s="1113"/>
      <c r="AA173" s="1113"/>
      <c r="AB173" s="1113"/>
      <c r="AC173" s="1113"/>
      <c r="AD173" s="1113"/>
      <c r="AE173" s="1113"/>
      <c r="AF173" s="1113"/>
      <c r="AG173" s="1113"/>
      <c r="AH173" s="1113"/>
      <c r="AI173" s="875"/>
      <c r="AJ173" s="1253"/>
      <c r="AK173" s="1253"/>
      <c r="AL173" s="1300"/>
      <c r="AM173" s="1301"/>
      <c r="AN173" s="1302"/>
      <c r="AO173" s="875"/>
      <c r="AP173" s="875"/>
      <c r="AQ173" s="1303"/>
      <c r="AR173" s="1300"/>
      <c r="AS173" s="1301"/>
      <c r="AT173" s="1300"/>
      <c r="AU173" s="1304"/>
      <c r="AV173" s="875"/>
      <c r="AW173" s="875"/>
      <c r="AX173" s="875"/>
      <c r="AY173" s="1279"/>
      <c r="AZ173" s="1279"/>
      <c r="BA173" s="1279"/>
      <c r="BB173" s="1279"/>
      <c r="BC173" s="1279"/>
      <c r="BD173" s="1279"/>
      <c r="BE173" s="1279"/>
      <c r="BF173" s="1279"/>
      <c r="BG173" s="1279"/>
      <c r="BH173" s="1279"/>
      <c r="BI173" s="1279"/>
      <c r="BJ173" s="1279"/>
      <c r="BK173" s="1279"/>
      <c r="BL173" s="1279"/>
      <c r="BM173" s="1279"/>
      <c r="BN173" s="1279"/>
      <c r="BO173" s="1279"/>
      <c r="BP173" s="1279"/>
      <c r="BQ173" s="1279"/>
      <c r="BR173" s="1279"/>
      <c r="BS173" s="1279"/>
      <c r="BT173" s="1279"/>
      <c r="BU173" s="1279"/>
      <c r="BV173" s="1279"/>
      <c r="BW173" s="1279"/>
      <c r="BX173" s="1279"/>
      <c r="BY173" s="1279"/>
      <c r="BZ173" s="1279"/>
      <c r="CA173" s="1279"/>
      <c r="CB173" s="1279"/>
      <c r="CC173" s="1279"/>
      <c r="CD173" s="1279"/>
      <c r="CE173" s="1279"/>
      <c r="CF173" s="1279"/>
      <c r="CG173" s="1279"/>
      <c r="CH173" s="1279"/>
      <c r="CI173" s="1279"/>
      <c r="CJ173" s="1279"/>
      <c r="CK173" s="1279"/>
      <c r="CL173" s="1279"/>
      <c r="CM173" s="1279"/>
      <c r="CN173" s="1279"/>
      <c r="CO173" s="1279"/>
      <c r="CP173" s="1279"/>
      <c r="CQ173" s="1279"/>
      <c r="CR173" s="1279"/>
      <c r="CS173" s="1279"/>
      <c r="CT173" s="1279"/>
      <c r="CU173" s="1279"/>
      <c r="CV173" s="1279"/>
      <c r="CW173" s="1279"/>
      <c r="CX173" s="1279"/>
      <c r="CY173" s="1279"/>
      <c r="CZ173" s="1279"/>
      <c r="DA173" s="1279"/>
      <c r="DB173" s="1279"/>
      <c r="DC173" s="1279"/>
      <c r="DD173" s="1279"/>
      <c r="DE173" s="1279"/>
      <c r="DF173" s="1279"/>
      <c r="DG173" s="1279"/>
      <c r="DH173" s="1279"/>
      <c r="DI173" s="1279"/>
      <c r="DJ173" s="1279"/>
      <c r="DK173" s="1279"/>
      <c r="DL173" s="1279"/>
      <c r="DM173" s="1279"/>
      <c r="DN173" s="1279"/>
      <c r="DO173" s="1279"/>
      <c r="DP173" s="1279"/>
      <c r="DQ173" s="1279"/>
      <c r="DR173" s="1279"/>
      <c r="DS173" s="1279"/>
      <c r="DT173" s="1279"/>
      <c r="DU173" s="1279"/>
      <c r="DV173" s="1279"/>
      <c r="DW173" s="1279"/>
      <c r="DX173" s="1279"/>
      <c r="DY173" s="1279"/>
      <c r="DZ173" s="1279"/>
      <c r="EA173" s="1279"/>
      <c r="EB173" s="1279"/>
      <c r="EC173" s="1279"/>
      <c r="ED173" s="1279"/>
      <c r="EE173" s="1279"/>
      <c r="EF173" s="1279"/>
      <c r="EG173" s="1279"/>
      <c r="EH173" s="1279"/>
      <c r="EI173" s="1279"/>
      <c r="EJ173" s="1279"/>
      <c r="EK173" s="1279"/>
      <c r="EL173" s="1279"/>
      <c r="EM173" s="1279"/>
      <c r="EN173" s="1056"/>
      <c r="EO173" s="1056"/>
    </row>
    <row r="174" spans="1:145" s="972" customFormat="1" ht="15">
      <c r="A174" s="1258" t="s">
        <v>1294</v>
      </c>
      <c r="B174" s="1259" t="s">
        <v>1289</v>
      </c>
      <c r="C174" s="1103"/>
      <c r="D174" s="1103"/>
      <c r="E174" s="995"/>
      <c r="F174" s="995"/>
      <c r="G174" s="963"/>
      <c r="H174" s="963"/>
      <c r="I174" s="963"/>
      <c r="J174" s="963"/>
      <c r="K174" s="1265">
        <v>1615950</v>
      </c>
      <c r="L174" s="1223"/>
      <c r="M174" s="1224"/>
      <c r="N174" s="1103"/>
      <c r="O174" s="1111"/>
      <c r="P174" s="1103"/>
      <c r="Q174" s="1103"/>
      <c r="R174" s="1103"/>
      <c r="S174" s="1103"/>
      <c r="T174" s="1103"/>
      <c r="U174" s="1103"/>
      <c r="V174" s="1103"/>
      <c r="W174" s="1112"/>
      <c r="X174" s="1113"/>
      <c r="Y174" s="1113"/>
      <c r="Z174" s="1113"/>
      <c r="AA174" s="1113"/>
      <c r="AB174" s="1113"/>
      <c r="AC174" s="1113"/>
      <c r="AD174" s="1113"/>
      <c r="AE174" s="1113"/>
      <c r="AF174" s="1113"/>
      <c r="AG174" s="1113"/>
      <c r="AH174" s="1113"/>
      <c r="AI174" s="875"/>
      <c r="AJ174" s="1253"/>
      <c r="AK174" s="1253"/>
      <c r="AL174" s="1300"/>
      <c r="AM174" s="1301"/>
      <c r="AN174" s="1302"/>
      <c r="AO174" s="875"/>
      <c r="AP174" s="875"/>
      <c r="AQ174" s="1303"/>
      <c r="AR174" s="1300"/>
      <c r="AS174" s="1301"/>
      <c r="AT174" s="1300"/>
      <c r="AU174" s="1304"/>
      <c r="AV174" s="875"/>
      <c r="AW174" s="875"/>
      <c r="AX174" s="875"/>
      <c r="AY174" s="1279"/>
      <c r="AZ174" s="1279"/>
      <c r="BA174" s="1279"/>
      <c r="BB174" s="1279"/>
      <c r="BC174" s="1279"/>
      <c r="BD174" s="1279"/>
      <c r="BE174" s="1279"/>
      <c r="BF174" s="1279"/>
      <c r="BG174" s="1279"/>
      <c r="BH174" s="1279"/>
      <c r="BI174" s="1279"/>
      <c r="BJ174" s="1279"/>
      <c r="BK174" s="1279"/>
      <c r="BL174" s="1279"/>
      <c r="BM174" s="1279"/>
      <c r="BN174" s="1279"/>
      <c r="BO174" s="1279"/>
      <c r="BP174" s="1279"/>
      <c r="BQ174" s="1279"/>
      <c r="BR174" s="1279"/>
      <c r="BS174" s="1279"/>
      <c r="BT174" s="1279"/>
      <c r="BU174" s="1279"/>
      <c r="BV174" s="1279"/>
      <c r="BW174" s="1279"/>
      <c r="BX174" s="1279"/>
      <c r="BY174" s="1279"/>
      <c r="BZ174" s="1279"/>
      <c r="CA174" s="1279"/>
      <c r="CB174" s="1279"/>
      <c r="CC174" s="1279"/>
      <c r="CD174" s="1279"/>
      <c r="CE174" s="1279"/>
      <c r="CF174" s="1279"/>
      <c r="CG174" s="1279"/>
      <c r="CH174" s="1279"/>
      <c r="CI174" s="1279"/>
      <c r="CJ174" s="1279"/>
      <c r="CK174" s="1279"/>
      <c r="CL174" s="1279"/>
      <c r="CM174" s="1279"/>
      <c r="CN174" s="1279"/>
      <c r="CO174" s="1279"/>
      <c r="CP174" s="1279"/>
      <c r="CQ174" s="1279"/>
      <c r="CR174" s="1279"/>
      <c r="CS174" s="1279"/>
      <c r="CT174" s="1279"/>
      <c r="CU174" s="1279"/>
      <c r="CV174" s="1279"/>
      <c r="CW174" s="1279"/>
      <c r="CX174" s="1279"/>
      <c r="CY174" s="1279"/>
      <c r="CZ174" s="1279"/>
      <c r="DA174" s="1279"/>
      <c r="DB174" s="1279"/>
      <c r="DC174" s="1279"/>
      <c r="DD174" s="1279"/>
      <c r="DE174" s="1279"/>
      <c r="DF174" s="1279"/>
      <c r="DG174" s="1279"/>
      <c r="DH174" s="1279"/>
      <c r="DI174" s="1279"/>
      <c r="DJ174" s="1279"/>
      <c r="DK174" s="1279"/>
      <c r="DL174" s="1279"/>
      <c r="DM174" s="1279"/>
      <c r="DN174" s="1279"/>
      <c r="DO174" s="1279"/>
      <c r="DP174" s="1279"/>
      <c r="DQ174" s="1279"/>
      <c r="DR174" s="1279"/>
      <c r="DS174" s="1279"/>
      <c r="DT174" s="1279"/>
      <c r="DU174" s="1279"/>
      <c r="DV174" s="1279"/>
      <c r="DW174" s="1279"/>
      <c r="DX174" s="1279"/>
      <c r="DY174" s="1279"/>
      <c r="DZ174" s="1279"/>
      <c r="EA174" s="1279"/>
      <c r="EB174" s="1279"/>
      <c r="EC174" s="1279"/>
      <c r="ED174" s="1279"/>
      <c r="EE174" s="1279"/>
      <c r="EF174" s="1279"/>
      <c r="EG174" s="1279"/>
      <c r="EH174" s="1279"/>
      <c r="EI174" s="1279"/>
      <c r="EJ174" s="1279"/>
      <c r="EK174" s="1279"/>
      <c r="EL174" s="1279"/>
      <c r="EM174" s="1279"/>
      <c r="EN174" s="1056"/>
      <c r="EO174" s="1056"/>
    </row>
    <row r="175" spans="1:145" s="972" customFormat="1" ht="15">
      <c r="A175" s="1258" t="s">
        <v>1295</v>
      </c>
      <c r="B175" s="1259" t="s">
        <v>1289</v>
      </c>
      <c r="C175" s="1103"/>
      <c r="D175" s="1103"/>
      <c r="E175" s="995"/>
      <c r="F175" s="995"/>
      <c r="G175" s="963"/>
      <c r="H175" s="963"/>
      <c r="I175" s="963"/>
      <c r="J175" s="963"/>
      <c r="K175" s="1265">
        <v>126490</v>
      </c>
      <c r="L175" s="1223"/>
      <c r="M175" s="1224"/>
      <c r="N175" s="1103"/>
      <c r="O175" s="1111"/>
      <c r="P175" s="1103"/>
      <c r="Q175" s="1103"/>
      <c r="R175" s="1103"/>
      <c r="S175" s="1103"/>
      <c r="T175" s="1103"/>
      <c r="U175" s="1103"/>
      <c r="V175" s="1103"/>
      <c r="W175" s="1112"/>
      <c r="X175" s="1113"/>
      <c r="Y175" s="1113"/>
      <c r="Z175" s="1113"/>
      <c r="AA175" s="1113"/>
      <c r="AB175" s="1113"/>
      <c r="AC175" s="1113"/>
      <c r="AD175" s="1113"/>
      <c r="AE175" s="1113"/>
      <c r="AF175" s="1113"/>
      <c r="AG175" s="1113"/>
      <c r="AH175" s="1113"/>
      <c r="AI175" s="875"/>
      <c r="AJ175" s="1253"/>
      <c r="AK175" s="1253"/>
      <c r="AL175" s="1300"/>
      <c r="AM175" s="1301"/>
      <c r="AN175" s="1302"/>
      <c r="AO175" s="875"/>
      <c r="AP175" s="875"/>
      <c r="AQ175" s="1303"/>
      <c r="AR175" s="1300"/>
      <c r="AS175" s="1301"/>
      <c r="AT175" s="1300"/>
      <c r="AU175" s="1304"/>
      <c r="AV175" s="875"/>
      <c r="AW175" s="875"/>
      <c r="AX175" s="875"/>
      <c r="AY175" s="1279"/>
      <c r="AZ175" s="1279"/>
      <c r="BA175" s="1279"/>
      <c r="BB175" s="1279"/>
      <c r="BC175" s="1279"/>
      <c r="BD175" s="1279"/>
      <c r="BE175" s="1279"/>
      <c r="BF175" s="1279"/>
      <c r="BG175" s="1279"/>
      <c r="BH175" s="1279"/>
      <c r="BI175" s="1279"/>
      <c r="BJ175" s="1279"/>
      <c r="BK175" s="1279"/>
      <c r="BL175" s="1279"/>
      <c r="BM175" s="1279"/>
      <c r="BN175" s="1279"/>
      <c r="BO175" s="1279"/>
      <c r="BP175" s="1279"/>
      <c r="BQ175" s="1279"/>
      <c r="BR175" s="1279"/>
      <c r="BS175" s="1279"/>
      <c r="BT175" s="1279"/>
      <c r="BU175" s="1279"/>
      <c r="BV175" s="1279"/>
      <c r="BW175" s="1279"/>
      <c r="BX175" s="1279"/>
      <c r="BY175" s="1279"/>
      <c r="BZ175" s="1279"/>
      <c r="CA175" s="1279"/>
      <c r="CB175" s="1279"/>
      <c r="CC175" s="1279"/>
      <c r="CD175" s="1279"/>
      <c r="CE175" s="1279"/>
      <c r="CF175" s="1279"/>
      <c r="CG175" s="1279"/>
      <c r="CH175" s="1279"/>
      <c r="CI175" s="1279"/>
      <c r="CJ175" s="1279"/>
      <c r="CK175" s="1279"/>
      <c r="CL175" s="1279"/>
      <c r="CM175" s="1279"/>
      <c r="CN175" s="1279"/>
      <c r="CO175" s="1279"/>
      <c r="CP175" s="1279"/>
      <c r="CQ175" s="1279"/>
      <c r="CR175" s="1279"/>
      <c r="CS175" s="1279"/>
      <c r="CT175" s="1279"/>
      <c r="CU175" s="1279"/>
      <c r="CV175" s="1279"/>
      <c r="CW175" s="1279"/>
      <c r="CX175" s="1279"/>
      <c r="CY175" s="1279"/>
      <c r="CZ175" s="1279"/>
      <c r="DA175" s="1279"/>
      <c r="DB175" s="1279"/>
      <c r="DC175" s="1279"/>
      <c r="DD175" s="1279"/>
      <c r="DE175" s="1279"/>
      <c r="DF175" s="1279"/>
      <c r="DG175" s="1279"/>
      <c r="DH175" s="1279"/>
      <c r="DI175" s="1279"/>
      <c r="DJ175" s="1279"/>
      <c r="DK175" s="1279"/>
      <c r="DL175" s="1279"/>
      <c r="DM175" s="1279"/>
      <c r="DN175" s="1279"/>
      <c r="DO175" s="1279"/>
      <c r="DP175" s="1279"/>
      <c r="DQ175" s="1279"/>
      <c r="DR175" s="1279"/>
      <c r="DS175" s="1279"/>
      <c r="DT175" s="1279"/>
      <c r="DU175" s="1279"/>
      <c r="DV175" s="1279"/>
      <c r="DW175" s="1279"/>
      <c r="DX175" s="1279"/>
      <c r="DY175" s="1279"/>
      <c r="DZ175" s="1279"/>
      <c r="EA175" s="1279"/>
      <c r="EB175" s="1279"/>
      <c r="EC175" s="1279"/>
      <c r="ED175" s="1279"/>
      <c r="EE175" s="1279"/>
      <c r="EF175" s="1279"/>
      <c r="EG175" s="1279"/>
      <c r="EH175" s="1279"/>
      <c r="EI175" s="1279"/>
      <c r="EJ175" s="1279"/>
      <c r="EK175" s="1279"/>
      <c r="EL175" s="1279"/>
      <c r="EM175" s="1279"/>
      <c r="EN175" s="1056"/>
      <c r="EO175" s="1056"/>
    </row>
    <row r="176" spans="1:145" s="972" customFormat="1" ht="15">
      <c r="A176" s="1258" t="s">
        <v>1296</v>
      </c>
      <c r="B176" s="1259"/>
      <c r="C176" s="1103"/>
      <c r="D176" s="1103"/>
      <c r="E176" s="995"/>
      <c r="F176" s="995"/>
      <c r="G176" s="963"/>
      <c r="H176" s="963"/>
      <c r="I176" s="963"/>
      <c r="J176" s="963"/>
      <c r="K176" s="1265">
        <v>50000</v>
      </c>
      <c r="L176" s="1223"/>
      <c r="M176" s="1224"/>
      <c r="N176" s="1103"/>
      <c r="O176" s="1111"/>
      <c r="P176" s="1103"/>
      <c r="Q176" s="1103"/>
      <c r="R176" s="1103"/>
      <c r="S176" s="1103"/>
      <c r="T176" s="1103"/>
      <c r="U176" s="1103"/>
      <c r="V176" s="1103"/>
      <c r="W176" s="1112"/>
      <c r="X176" s="1113"/>
      <c r="Y176" s="1113"/>
      <c r="Z176" s="1113"/>
      <c r="AA176" s="1113"/>
      <c r="AB176" s="1113"/>
      <c r="AC176" s="1113"/>
      <c r="AD176" s="1113"/>
      <c r="AE176" s="1113"/>
      <c r="AF176" s="1113"/>
      <c r="AG176" s="1113"/>
      <c r="AH176" s="1113"/>
      <c r="AI176" s="875"/>
      <c r="AJ176" s="1253"/>
      <c r="AK176" s="1253"/>
      <c r="AL176" s="1300"/>
      <c r="AM176" s="1301"/>
      <c r="AN176" s="1302"/>
      <c r="AO176" s="875"/>
      <c r="AP176" s="875"/>
      <c r="AQ176" s="1303"/>
      <c r="AR176" s="1300"/>
      <c r="AS176" s="1301"/>
      <c r="AT176" s="1300"/>
      <c r="AU176" s="1304"/>
      <c r="AV176" s="875"/>
      <c r="AW176" s="875"/>
      <c r="AX176" s="875"/>
      <c r="AY176" s="1279"/>
      <c r="AZ176" s="1279"/>
      <c r="BA176" s="1279"/>
      <c r="BB176" s="1279"/>
      <c r="BC176" s="1279"/>
      <c r="BD176" s="1279"/>
      <c r="BE176" s="1279"/>
      <c r="BF176" s="1279"/>
      <c r="BG176" s="1279"/>
      <c r="BH176" s="1279"/>
      <c r="BI176" s="1279"/>
      <c r="BJ176" s="1279"/>
      <c r="BK176" s="1279"/>
      <c r="BL176" s="1279"/>
      <c r="BM176" s="1279"/>
      <c r="BN176" s="1279"/>
      <c r="BO176" s="1279"/>
      <c r="BP176" s="1279"/>
      <c r="BQ176" s="1279"/>
      <c r="BR176" s="1279"/>
      <c r="BS176" s="1279"/>
      <c r="BT176" s="1279"/>
      <c r="BU176" s="1279"/>
      <c r="BV176" s="1279"/>
      <c r="BW176" s="1279"/>
      <c r="BX176" s="1279"/>
      <c r="BY176" s="1279"/>
      <c r="BZ176" s="1279"/>
      <c r="CA176" s="1279"/>
      <c r="CB176" s="1279"/>
      <c r="CC176" s="1279"/>
      <c r="CD176" s="1279"/>
      <c r="CE176" s="1279"/>
      <c r="CF176" s="1279"/>
      <c r="CG176" s="1279"/>
      <c r="CH176" s="1279"/>
      <c r="CI176" s="1279"/>
      <c r="CJ176" s="1279"/>
      <c r="CK176" s="1279"/>
      <c r="CL176" s="1279"/>
      <c r="CM176" s="1279"/>
      <c r="CN176" s="1279"/>
      <c r="CO176" s="1279"/>
      <c r="CP176" s="1279"/>
      <c r="CQ176" s="1279"/>
      <c r="CR176" s="1279"/>
      <c r="CS176" s="1279"/>
      <c r="CT176" s="1279"/>
      <c r="CU176" s="1279"/>
      <c r="CV176" s="1279"/>
      <c r="CW176" s="1279"/>
      <c r="CX176" s="1279"/>
      <c r="CY176" s="1279"/>
      <c r="CZ176" s="1279"/>
      <c r="DA176" s="1279"/>
      <c r="DB176" s="1279"/>
      <c r="DC176" s="1279"/>
      <c r="DD176" s="1279"/>
      <c r="DE176" s="1279"/>
      <c r="DF176" s="1279"/>
      <c r="DG176" s="1279"/>
      <c r="DH176" s="1279"/>
      <c r="DI176" s="1279"/>
      <c r="DJ176" s="1279"/>
      <c r="DK176" s="1279"/>
      <c r="DL176" s="1279"/>
      <c r="DM176" s="1279"/>
      <c r="DN176" s="1279"/>
      <c r="DO176" s="1279"/>
      <c r="DP176" s="1279"/>
      <c r="DQ176" s="1279"/>
      <c r="DR176" s="1279"/>
      <c r="DS176" s="1279"/>
      <c r="DT176" s="1279"/>
      <c r="DU176" s="1279"/>
      <c r="DV176" s="1279"/>
      <c r="DW176" s="1279"/>
      <c r="DX176" s="1279"/>
      <c r="DY176" s="1279"/>
      <c r="DZ176" s="1279"/>
      <c r="EA176" s="1279"/>
      <c r="EB176" s="1279"/>
      <c r="EC176" s="1279"/>
      <c r="ED176" s="1279"/>
      <c r="EE176" s="1279"/>
      <c r="EF176" s="1279"/>
      <c r="EG176" s="1279"/>
      <c r="EH176" s="1279"/>
      <c r="EI176" s="1279"/>
      <c r="EJ176" s="1279"/>
      <c r="EK176" s="1279"/>
      <c r="EL176" s="1279"/>
      <c r="EM176" s="1279"/>
      <c r="EN176" s="1056"/>
      <c r="EO176" s="1056"/>
    </row>
    <row r="177" spans="1:145" s="972" customFormat="1" ht="17.25" customHeight="1" hidden="1">
      <c r="A177" s="1258" t="s">
        <v>1275</v>
      </c>
      <c r="B177" s="1259" t="s">
        <v>1280</v>
      </c>
      <c r="C177" s="1103"/>
      <c r="D177" s="1103"/>
      <c r="E177" s="995"/>
      <c r="F177" s="995"/>
      <c r="G177" s="963"/>
      <c r="H177" s="963"/>
      <c r="I177" s="963"/>
      <c r="J177" s="963"/>
      <c r="K177" s="963">
        <v>17765</v>
      </c>
      <c r="L177" s="1146"/>
      <c r="M177" s="963"/>
      <c r="N177" s="1103"/>
      <c r="O177" s="1111"/>
      <c r="P177" s="1103"/>
      <c r="Q177" s="1103"/>
      <c r="R177" s="1103"/>
      <c r="S177" s="1103"/>
      <c r="T177" s="1103"/>
      <c r="U177" s="1103"/>
      <c r="V177" s="1103"/>
      <c r="W177" s="1112"/>
      <c r="X177" s="1113"/>
      <c r="Y177" s="1113"/>
      <c r="Z177" s="1113"/>
      <c r="AA177" s="1113"/>
      <c r="AB177" s="1113"/>
      <c r="AC177" s="1113"/>
      <c r="AD177" s="1113"/>
      <c r="AE177" s="1113"/>
      <c r="AF177" s="1113"/>
      <c r="AG177" s="1113"/>
      <c r="AH177" s="1113"/>
      <c r="AI177" s="875"/>
      <c r="AJ177" s="1253"/>
      <c r="AK177" s="1253"/>
      <c r="AL177" s="1300"/>
      <c r="AM177" s="1301"/>
      <c r="AN177" s="1302"/>
      <c r="AO177" s="875"/>
      <c r="AP177" s="875"/>
      <c r="AQ177" s="1303"/>
      <c r="AR177" s="1300"/>
      <c r="AS177" s="1301"/>
      <c r="AT177" s="1300"/>
      <c r="AU177" s="1304"/>
      <c r="AV177" s="875"/>
      <c r="AW177" s="875"/>
      <c r="AX177" s="875"/>
      <c r="AY177" s="1279"/>
      <c r="AZ177" s="1279"/>
      <c r="BA177" s="1279"/>
      <c r="BB177" s="1279"/>
      <c r="BC177" s="1279"/>
      <c r="BD177" s="1279"/>
      <c r="BE177" s="1279"/>
      <c r="BF177" s="1279"/>
      <c r="BG177" s="1279"/>
      <c r="BH177" s="1279"/>
      <c r="BI177" s="1279"/>
      <c r="BJ177" s="1279"/>
      <c r="BK177" s="1279"/>
      <c r="BL177" s="1279"/>
      <c r="BM177" s="1279"/>
      <c r="BN177" s="1279"/>
      <c r="BO177" s="1279"/>
      <c r="BP177" s="1279"/>
      <c r="BQ177" s="1279"/>
      <c r="BR177" s="1279"/>
      <c r="BS177" s="1279"/>
      <c r="BT177" s="1279"/>
      <c r="BU177" s="1279"/>
      <c r="BV177" s="1279"/>
      <c r="BW177" s="1279"/>
      <c r="BX177" s="1279"/>
      <c r="BY177" s="1279"/>
      <c r="BZ177" s="1279"/>
      <c r="CA177" s="1279"/>
      <c r="CB177" s="1279"/>
      <c r="CC177" s="1279"/>
      <c r="CD177" s="1279"/>
      <c r="CE177" s="1279"/>
      <c r="CF177" s="1279"/>
      <c r="CG177" s="1279"/>
      <c r="CH177" s="1279"/>
      <c r="CI177" s="1279"/>
      <c r="CJ177" s="1279"/>
      <c r="CK177" s="1279"/>
      <c r="CL177" s="1279"/>
      <c r="CM177" s="1279"/>
      <c r="CN177" s="1279"/>
      <c r="CO177" s="1279"/>
      <c r="CP177" s="1279"/>
      <c r="CQ177" s="1279"/>
      <c r="CR177" s="1279"/>
      <c r="CS177" s="1279"/>
      <c r="CT177" s="1279"/>
      <c r="CU177" s="1279"/>
      <c r="CV177" s="1279"/>
      <c r="CW177" s="1279"/>
      <c r="CX177" s="1279"/>
      <c r="CY177" s="1279"/>
      <c r="CZ177" s="1279"/>
      <c r="DA177" s="1279"/>
      <c r="DB177" s="1279"/>
      <c r="DC177" s="1279"/>
      <c r="DD177" s="1279"/>
      <c r="DE177" s="1279"/>
      <c r="DF177" s="1279"/>
      <c r="DG177" s="1279"/>
      <c r="DH177" s="1279"/>
      <c r="DI177" s="1279"/>
      <c r="DJ177" s="1279"/>
      <c r="DK177" s="1279"/>
      <c r="DL177" s="1279"/>
      <c r="DM177" s="1279"/>
      <c r="DN177" s="1279"/>
      <c r="DO177" s="1279"/>
      <c r="DP177" s="1279"/>
      <c r="DQ177" s="1279"/>
      <c r="DR177" s="1279"/>
      <c r="DS177" s="1279"/>
      <c r="DT177" s="1279"/>
      <c r="DU177" s="1279"/>
      <c r="DV177" s="1279"/>
      <c r="DW177" s="1279"/>
      <c r="DX177" s="1279"/>
      <c r="DY177" s="1279"/>
      <c r="DZ177" s="1279"/>
      <c r="EA177" s="1279"/>
      <c r="EB177" s="1279"/>
      <c r="EC177" s="1279"/>
      <c r="ED177" s="1279"/>
      <c r="EE177" s="1279"/>
      <c r="EF177" s="1279"/>
      <c r="EG177" s="1279"/>
      <c r="EH177" s="1279"/>
      <c r="EI177" s="1279"/>
      <c r="EJ177" s="1279"/>
      <c r="EK177" s="1279"/>
      <c r="EL177" s="1279"/>
      <c r="EM177" s="1279"/>
      <c r="EN177" s="1056"/>
      <c r="EO177" s="1056"/>
    </row>
    <row r="178" spans="1:145" s="972" customFormat="1" ht="15">
      <c r="A178" s="1110"/>
      <c r="B178" s="1110"/>
      <c r="C178" s="1103"/>
      <c r="D178" s="1103"/>
      <c r="E178" s="995"/>
      <c r="F178" s="995"/>
      <c r="G178" s="963"/>
      <c r="H178" s="963"/>
      <c r="I178" s="963"/>
      <c r="J178" s="963"/>
      <c r="K178" s="963"/>
      <c r="L178" s="1255">
        <v>1700000</v>
      </c>
      <c r="M178" s="1254"/>
      <c r="N178" s="1267"/>
      <c r="O178" s="1105"/>
      <c r="P178" s="1207"/>
      <c r="Q178" s="998"/>
      <c r="R178" s="999"/>
      <c r="S178" s="1006">
        <f>IF($R178="S/L or L",$P178,0)</f>
        <v>0</v>
      </c>
      <c r="T178" s="1006">
        <f>IF($R178="L",$P178,0)</f>
        <v>0</v>
      </c>
      <c r="U178" s="1006">
        <f>IF($R178="S",$P178,0)</f>
        <v>0</v>
      </c>
      <c r="V178" s="1006">
        <f>IF($R178="F",$P178,0)</f>
        <v>0</v>
      </c>
      <c r="W178" s="1029">
        <f>SUM(S178:V178)</f>
        <v>0</v>
      </c>
      <c r="X178" s="1008" t="s">
        <v>25</v>
      </c>
      <c r="Y178" s="1006">
        <f>IF($R178="S/L or L",$K179,0)</f>
        <v>0</v>
      </c>
      <c r="Z178" s="1006">
        <f>IF($R178="L",$K179,0)</f>
        <v>0</v>
      </c>
      <c r="AA178" s="1006">
        <f>IF($R178="S",$K179,0)</f>
        <v>0</v>
      </c>
      <c r="AB178" s="1006">
        <f>IF($R178="F",$K179,0)</f>
        <v>0</v>
      </c>
      <c r="AC178" s="1009">
        <f>SUM(Y178:AB178)</f>
        <v>0</v>
      </c>
      <c r="AD178" s="1006">
        <f>IF($R178="S/L or L",$O178,0)</f>
        <v>0</v>
      </c>
      <c r="AE178" s="1006">
        <f>IF($R178="L",$O178,0)</f>
        <v>0</v>
      </c>
      <c r="AF178" s="1006">
        <f>IF($R178="S",$O178,0)</f>
        <v>0</v>
      </c>
      <c r="AG178" s="1006">
        <f>IF($R178="F",$O178,0)</f>
        <v>0</v>
      </c>
      <c r="AH178" s="1009">
        <f>SUM(AD178:AG178)</f>
        <v>0</v>
      </c>
      <c r="AJ178" s="1052"/>
      <c r="AK178" s="1052"/>
      <c r="AL178" s="1053"/>
      <c r="AM178" s="1220"/>
      <c r="AN178" s="1054"/>
      <c r="AQ178" s="1221"/>
      <c r="AR178" s="1053"/>
      <c r="AS178" s="1220"/>
      <c r="AT178" s="1053"/>
      <c r="AU178" s="1055"/>
      <c r="AY178" s="1056"/>
      <c r="AZ178" s="1056"/>
      <c r="BA178" s="1056"/>
      <c r="BB178" s="1056"/>
      <c r="BC178" s="1056"/>
      <c r="BD178" s="1056"/>
      <c r="BE178" s="1056"/>
      <c r="BF178" s="1056"/>
      <c r="BG178" s="1056"/>
      <c r="BH178" s="1056"/>
      <c r="BI178" s="1056"/>
      <c r="BJ178" s="1056"/>
      <c r="BK178" s="1056"/>
      <c r="BL178" s="1056"/>
      <c r="BM178" s="1056"/>
      <c r="BN178" s="1056"/>
      <c r="BO178" s="1056"/>
      <c r="BP178" s="1056"/>
      <c r="BQ178" s="1056"/>
      <c r="BR178" s="1056"/>
      <c r="BS178" s="1056"/>
      <c r="BT178" s="1056"/>
      <c r="BU178" s="1056"/>
      <c r="BV178" s="1056"/>
      <c r="BW178" s="1056"/>
      <c r="BX178" s="1056"/>
      <c r="BY178" s="1056"/>
      <c r="BZ178" s="1056"/>
      <c r="CA178" s="1056"/>
      <c r="CB178" s="1056"/>
      <c r="CC178" s="1056"/>
      <c r="CD178" s="1056"/>
      <c r="CE178" s="1056"/>
      <c r="CF178" s="1056"/>
      <c r="CG178" s="1056"/>
      <c r="CH178" s="1056"/>
      <c r="CI178" s="1056"/>
      <c r="CJ178" s="1056"/>
      <c r="CK178" s="1056"/>
      <c r="CL178" s="1056"/>
      <c r="CM178" s="1056"/>
      <c r="CN178" s="1056"/>
      <c r="CO178" s="1056"/>
      <c r="CP178" s="1056"/>
      <c r="CQ178" s="1056"/>
      <c r="CR178" s="1056"/>
      <c r="CS178" s="1056"/>
      <c r="CT178" s="1056"/>
      <c r="CU178" s="1056"/>
      <c r="CV178" s="1056"/>
      <c r="CW178" s="1056"/>
      <c r="CX178" s="1056"/>
      <c r="CY178" s="1056"/>
      <c r="CZ178" s="1056"/>
      <c r="DA178" s="1056"/>
      <c r="DB178" s="1056"/>
      <c r="DC178" s="1056"/>
      <c r="DD178" s="1056"/>
      <c r="DE178" s="1056"/>
      <c r="DF178" s="1056"/>
      <c r="DG178" s="1056"/>
      <c r="DH178" s="1056"/>
      <c r="DI178" s="1056"/>
      <c r="DJ178" s="1056"/>
      <c r="DK178" s="1056"/>
      <c r="DL178" s="1056"/>
      <c r="DM178" s="1056"/>
      <c r="DN178" s="1056"/>
      <c r="DO178" s="1056"/>
      <c r="DP178" s="1056"/>
      <c r="DQ178" s="1056"/>
      <c r="DR178" s="1056"/>
      <c r="DS178" s="1056"/>
      <c r="DT178" s="1056"/>
      <c r="DU178" s="1056"/>
      <c r="DV178" s="1056"/>
      <c r="DW178" s="1056"/>
      <c r="DX178" s="1056"/>
      <c r="DY178" s="1056"/>
      <c r="DZ178" s="1056"/>
      <c r="EA178" s="1056"/>
      <c r="EB178" s="1056"/>
      <c r="EC178" s="1056"/>
      <c r="ED178" s="1056"/>
      <c r="EE178" s="1056"/>
      <c r="EF178" s="1056"/>
      <c r="EG178" s="1056"/>
      <c r="EH178" s="1056"/>
      <c r="EI178" s="1056"/>
      <c r="EJ178" s="1056"/>
      <c r="EK178" s="1056"/>
      <c r="EL178" s="1056"/>
      <c r="EM178" s="1056"/>
      <c r="EN178" s="1056"/>
      <c r="EO178" s="1056"/>
    </row>
    <row r="179" spans="1:145" s="972" customFormat="1" ht="30.75">
      <c r="A179" s="1175" t="s">
        <v>926</v>
      </c>
      <c r="B179" s="1091"/>
      <c r="C179" s="1092"/>
      <c r="D179" s="1092"/>
      <c r="E179" s="1093"/>
      <c r="F179" s="1093"/>
      <c r="G179" s="1094"/>
      <c r="H179" s="1094"/>
      <c r="I179" s="1094"/>
      <c r="J179" s="1094"/>
      <c r="K179" s="1254">
        <f>SUM(K180:K187)</f>
        <v>2174103</v>
      </c>
      <c r="L179" s="1137"/>
      <c r="M179" s="1023"/>
      <c r="N179" s="1256"/>
      <c r="O179" s="1101"/>
      <c r="P179" s="1102"/>
      <c r="Q179" s="1096"/>
      <c r="R179" s="1097"/>
      <c r="S179" s="1006"/>
      <c r="T179" s="1006"/>
      <c r="U179" s="1006"/>
      <c r="V179" s="1006"/>
      <c r="W179" s="1029"/>
      <c r="X179" s="1008"/>
      <c r="Y179" s="1006"/>
      <c r="Z179" s="1006"/>
      <c r="AA179" s="1006"/>
      <c r="AB179" s="1006"/>
      <c r="AC179" s="1009"/>
      <c r="AD179" s="1006"/>
      <c r="AE179" s="1006"/>
      <c r="AF179" s="1006"/>
      <c r="AG179" s="1006"/>
      <c r="AH179" s="1009"/>
      <c r="AJ179" s="1052"/>
      <c r="AK179" s="1052"/>
      <c r="AL179" s="1053"/>
      <c r="AM179" s="1220"/>
      <c r="AN179" s="1054"/>
      <c r="AQ179" s="1221"/>
      <c r="AR179" s="1053"/>
      <c r="AS179" s="1220"/>
      <c r="AT179" s="1053"/>
      <c r="AU179" s="1055"/>
      <c r="AY179" s="1056"/>
      <c r="AZ179" s="1056"/>
      <c r="BA179" s="1056"/>
      <c r="BB179" s="1056"/>
      <c r="BC179" s="1056"/>
      <c r="BD179" s="1056"/>
      <c r="BE179" s="1056"/>
      <c r="BF179" s="1056"/>
      <c r="BG179" s="1056"/>
      <c r="BH179" s="1056"/>
      <c r="BI179" s="1056"/>
      <c r="BJ179" s="1056"/>
      <c r="BK179" s="1056"/>
      <c r="BL179" s="1056"/>
      <c r="BM179" s="1056"/>
      <c r="BN179" s="1056"/>
      <c r="BO179" s="1056"/>
      <c r="BP179" s="1056"/>
      <c r="BQ179" s="1056"/>
      <c r="BR179" s="1056"/>
      <c r="BS179" s="1056"/>
      <c r="BT179" s="1056"/>
      <c r="BU179" s="1056"/>
      <c r="BV179" s="1056"/>
      <c r="BW179" s="1056"/>
      <c r="BX179" s="1056"/>
      <c r="BY179" s="1056"/>
      <c r="BZ179" s="1056"/>
      <c r="CA179" s="1056"/>
      <c r="CB179" s="1056"/>
      <c r="CC179" s="1056"/>
      <c r="CD179" s="1056"/>
      <c r="CE179" s="1056"/>
      <c r="CF179" s="1056"/>
      <c r="CG179" s="1056"/>
      <c r="CH179" s="1056"/>
      <c r="CI179" s="1056"/>
      <c r="CJ179" s="1056"/>
      <c r="CK179" s="1056"/>
      <c r="CL179" s="1056"/>
      <c r="CM179" s="1056"/>
      <c r="CN179" s="1056"/>
      <c r="CO179" s="1056"/>
      <c r="CP179" s="1056"/>
      <c r="CQ179" s="1056"/>
      <c r="CR179" s="1056"/>
      <c r="CS179" s="1056"/>
      <c r="CT179" s="1056"/>
      <c r="CU179" s="1056"/>
      <c r="CV179" s="1056"/>
      <c r="CW179" s="1056"/>
      <c r="CX179" s="1056"/>
      <c r="CY179" s="1056"/>
      <c r="CZ179" s="1056"/>
      <c r="DA179" s="1056"/>
      <c r="DB179" s="1056"/>
      <c r="DC179" s="1056"/>
      <c r="DD179" s="1056"/>
      <c r="DE179" s="1056"/>
      <c r="DF179" s="1056"/>
      <c r="DG179" s="1056"/>
      <c r="DH179" s="1056"/>
      <c r="DI179" s="1056"/>
      <c r="DJ179" s="1056"/>
      <c r="DK179" s="1056"/>
      <c r="DL179" s="1056"/>
      <c r="DM179" s="1056"/>
      <c r="DN179" s="1056"/>
      <c r="DO179" s="1056"/>
      <c r="DP179" s="1056"/>
      <c r="DQ179" s="1056"/>
      <c r="DR179" s="1056"/>
      <c r="DS179" s="1056"/>
      <c r="DT179" s="1056"/>
      <c r="DU179" s="1056"/>
      <c r="DV179" s="1056"/>
      <c r="DW179" s="1056"/>
      <c r="DX179" s="1056"/>
      <c r="DY179" s="1056"/>
      <c r="DZ179" s="1056"/>
      <c r="EA179" s="1056"/>
      <c r="EB179" s="1056"/>
      <c r="EC179" s="1056"/>
      <c r="ED179" s="1056"/>
      <c r="EE179" s="1056"/>
      <c r="EF179" s="1056"/>
      <c r="EG179" s="1056"/>
      <c r="EH179" s="1056"/>
      <c r="EI179" s="1056"/>
      <c r="EJ179" s="1056"/>
      <c r="EK179" s="1056"/>
      <c r="EL179" s="1056"/>
      <c r="EM179" s="1056"/>
      <c r="EN179" s="1056"/>
      <c r="EO179" s="1056"/>
    </row>
    <row r="180" spans="1:145" s="972" customFormat="1" ht="30.75">
      <c r="A180" s="1258" t="s">
        <v>1297</v>
      </c>
      <c r="B180" s="1259" t="s">
        <v>1289</v>
      </c>
      <c r="C180" s="645"/>
      <c r="D180" s="645"/>
      <c r="E180" s="1001"/>
      <c r="F180" s="1001"/>
      <c r="G180" s="1003"/>
      <c r="H180" s="1003"/>
      <c r="I180" s="1003"/>
      <c r="J180" s="1003"/>
      <c r="K180" s="1266">
        <v>1300967</v>
      </c>
      <c r="L180" s="1137"/>
      <c r="M180" s="1023"/>
      <c r="N180" s="1014"/>
      <c r="O180" s="1015"/>
      <c r="P180" s="1029"/>
      <c r="Q180" s="1006"/>
      <c r="R180" s="1007"/>
      <c r="S180" s="1006"/>
      <c r="T180" s="1006"/>
      <c r="U180" s="1006"/>
      <c r="V180" s="1006"/>
      <c r="W180" s="1029"/>
      <c r="X180" s="1008"/>
      <c r="Y180" s="1006"/>
      <c r="Z180" s="1006"/>
      <c r="AA180" s="1006"/>
      <c r="AB180" s="1006"/>
      <c r="AC180" s="1009"/>
      <c r="AD180" s="1006"/>
      <c r="AE180" s="1006"/>
      <c r="AF180" s="1006"/>
      <c r="AG180" s="1006"/>
      <c r="AH180" s="1009"/>
      <c r="AJ180" s="1052"/>
      <c r="AK180" s="1052"/>
      <c r="AL180" s="1053"/>
      <c r="AM180" s="1220"/>
      <c r="AN180" s="1054"/>
      <c r="AQ180" s="1221"/>
      <c r="AR180" s="1053"/>
      <c r="AS180" s="1220"/>
      <c r="AT180" s="1053"/>
      <c r="AU180" s="1055"/>
      <c r="AY180" s="1056"/>
      <c r="AZ180" s="1056"/>
      <c r="BA180" s="1056"/>
      <c r="BB180" s="1056"/>
      <c r="BC180" s="1056"/>
      <c r="BD180" s="1056"/>
      <c r="BE180" s="1056"/>
      <c r="BF180" s="1056"/>
      <c r="BG180" s="1056"/>
      <c r="BH180" s="1056"/>
      <c r="BI180" s="1056"/>
      <c r="BJ180" s="1056"/>
      <c r="BK180" s="1056"/>
      <c r="BL180" s="1056"/>
      <c r="BM180" s="1056"/>
      <c r="BN180" s="1056"/>
      <c r="BO180" s="1056"/>
      <c r="BP180" s="1056"/>
      <c r="BQ180" s="1056"/>
      <c r="BR180" s="1056"/>
      <c r="BS180" s="1056"/>
      <c r="BT180" s="1056"/>
      <c r="BU180" s="1056"/>
      <c r="BV180" s="1056"/>
      <c r="BW180" s="1056"/>
      <c r="BX180" s="1056"/>
      <c r="BY180" s="1056"/>
      <c r="BZ180" s="1056"/>
      <c r="CA180" s="1056"/>
      <c r="CB180" s="1056"/>
      <c r="CC180" s="1056"/>
      <c r="CD180" s="1056"/>
      <c r="CE180" s="1056"/>
      <c r="CF180" s="1056"/>
      <c r="CG180" s="1056"/>
      <c r="CH180" s="1056"/>
      <c r="CI180" s="1056"/>
      <c r="CJ180" s="1056"/>
      <c r="CK180" s="1056"/>
      <c r="CL180" s="1056"/>
      <c r="CM180" s="1056"/>
      <c r="CN180" s="1056"/>
      <c r="CO180" s="1056"/>
      <c r="CP180" s="1056"/>
      <c r="CQ180" s="1056"/>
      <c r="CR180" s="1056"/>
      <c r="CS180" s="1056"/>
      <c r="CT180" s="1056"/>
      <c r="CU180" s="1056"/>
      <c r="CV180" s="1056"/>
      <c r="CW180" s="1056"/>
      <c r="CX180" s="1056"/>
      <c r="CY180" s="1056"/>
      <c r="CZ180" s="1056"/>
      <c r="DA180" s="1056"/>
      <c r="DB180" s="1056"/>
      <c r="DC180" s="1056"/>
      <c r="DD180" s="1056"/>
      <c r="DE180" s="1056"/>
      <c r="DF180" s="1056"/>
      <c r="DG180" s="1056"/>
      <c r="DH180" s="1056"/>
      <c r="DI180" s="1056"/>
      <c r="DJ180" s="1056"/>
      <c r="DK180" s="1056"/>
      <c r="DL180" s="1056"/>
      <c r="DM180" s="1056"/>
      <c r="DN180" s="1056"/>
      <c r="DO180" s="1056"/>
      <c r="DP180" s="1056"/>
      <c r="DQ180" s="1056"/>
      <c r="DR180" s="1056"/>
      <c r="DS180" s="1056"/>
      <c r="DT180" s="1056"/>
      <c r="DU180" s="1056"/>
      <c r="DV180" s="1056"/>
      <c r="DW180" s="1056"/>
      <c r="DX180" s="1056"/>
      <c r="DY180" s="1056"/>
      <c r="DZ180" s="1056"/>
      <c r="EA180" s="1056"/>
      <c r="EB180" s="1056"/>
      <c r="EC180" s="1056"/>
      <c r="ED180" s="1056"/>
      <c r="EE180" s="1056"/>
      <c r="EF180" s="1056"/>
      <c r="EG180" s="1056"/>
      <c r="EH180" s="1056"/>
      <c r="EI180" s="1056"/>
      <c r="EJ180" s="1056"/>
      <c r="EK180" s="1056"/>
      <c r="EL180" s="1056"/>
      <c r="EM180" s="1056"/>
      <c r="EN180" s="1056"/>
      <c r="EO180" s="1056"/>
    </row>
    <row r="181" spans="1:145" s="972" customFormat="1" ht="15">
      <c r="A181" s="1258" t="s">
        <v>1298</v>
      </c>
      <c r="B181" s="1259" t="s">
        <v>1302</v>
      </c>
      <c r="C181" s="645"/>
      <c r="D181" s="645"/>
      <c r="E181" s="1001"/>
      <c r="F181" s="1001"/>
      <c r="G181" s="1003"/>
      <c r="H181" s="1003"/>
      <c r="I181" s="1003"/>
      <c r="J181" s="1003"/>
      <c r="K181" s="1266">
        <v>97000</v>
      </c>
      <c r="L181" s="1137"/>
      <c r="M181" s="1023"/>
      <c r="N181" s="1014"/>
      <c r="O181" s="1015"/>
      <c r="P181" s="1029"/>
      <c r="Q181" s="1006"/>
      <c r="R181" s="1007"/>
      <c r="S181" s="1006"/>
      <c r="T181" s="1006"/>
      <c r="U181" s="1006"/>
      <c r="V181" s="1006"/>
      <c r="W181" s="1029"/>
      <c r="X181" s="1008"/>
      <c r="Y181" s="1006"/>
      <c r="Z181" s="1006"/>
      <c r="AA181" s="1006"/>
      <c r="AB181" s="1006"/>
      <c r="AC181" s="1009"/>
      <c r="AD181" s="1006"/>
      <c r="AE181" s="1006"/>
      <c r="AF181" s="1006"/>
      <c r="AG181" s="1006"/>
      <c r="AH181" s="1009"/>
      <c r="AJ181" s="1052"/>
      <c r="AK181" s="1052"/>
      <c r="AL181" s="1053"/>
      <c r="AM181" s="1220"/>
      <c r="AN181" s="1054"/>
      <c r="AQ181" s="1221"/>
      <c r="AR181" s="1053"/>
      <c r="AS181" s="1220"/>
      <c r="AT181" s="1053"/>
      <c r="AU181" s="1055"/>
      <c r="AY181" s="1056"/>
      <c r="AZ181" s="1056"/>
      <c r="BA181" s="1056"/>
      <c r="BB181" s="1056"/>
      <c r="BC181" s="1056"/>
      <c r="BD181" s="1056"/>
      <c r="BE181" s="1056"/>
      <c r="BF181" s="1056"/>
      <c r="BG181" s="1056"/>
      <c r="BH181" s="1056"/>
      <c r="BI181" s="1056"/>
      <c r="BJ181" s="1056"/>
      <c r="BK181" s="1056"/>
      <c r="BL181" s="1056"/>
      <c r="BM181" s="1056"/>
      <c r="BN181" s="1056"/>
      <c r="BO181" s="1056"/>
      <c r="BP181" s="1056"/>
      <c r="BQ181" s="1056"/>
      <c r="BR181" s="1056"/>
      <c r="BS181" s="1056"/>
      <c r="BT181" s="1056"/>
      <c r="BU181" s="1056"/>
      <c r="BV181" s="1056"/>
      <c r="BW181" s="1056"/>
      <c r="BX181" s="1056"/>
      <c r="BY181" s="1056"/>
      <c r="BZ181" s="1056"/>
      <c r="CA181" s="1056"/>
      <c r="CB181" s="1056"/>
      <c r="CC181" s="1056"/>
      <c r="CD181" s="1056"/>
      <c r="CE181" s="1056"/>
      <c r="CF181" s="1056"/>
      <c r="CG181" s="1056"/>
      <c r="CH181" s="1056"/>
      <c r="CI181" s="1056"/>
      <c r="CJ181" s="1056"/>
      <c r="CK181" s="1056"/>
      <c r="CL181" s="1056"/>
      <c r="CM181" s="1056"/>
      <c r="CN181" s="1056"/>
      <c r="CO181" s="1056"/>
      <c r="CP181" s="1056"/>
      <c r="CQ181" s="1056"/>
      <c r="CR181" s="1056"/>
      <c r="CS181" s="1056"/>
      <c r="CT181" s="1056"/>
      <c r="CU181" s="1056"/>
      <c r="CV181" s="1056"/>
      <c r="CW181" s="1056"/>
      <c r="CX181" s="1056"/>
      <c r="CY181" s="1056"/>
      <c r="CZ181" s="1056"/>
      <c r="DA181" s="1056"/>
      <c r="DB181" s="1056"/>
      <c r="DC181" s="1056"/>
      <c r="DD181" s="1056"/>
      <c r="DE181" s="1056"/>
      <c r="DF181" s="1056"/>
      <c r="DG181" s="1056"/>
      <c r="DH181" s="1056"/>
      <c r="DI181" s="1056"/>
      <c r="DJ181" s="1056"/>
      <c r="DK181" s="1056"/>
      <c r="DL181" s="1056"/>
      <c r="DM181" s="1056"/>
      <c r="DN181" s="1056"/>
      <c r="DO181" s="1056"/>
      <c r="DP181" s="1056"/>
      <c r="DQ181" s="1056"/>
      <c r="DR181" s="1056"/>
      <c r="DS181" s="1056"/>
      <c r="DT181" s="1056"/>
      <c r="DU181" s="1056"/>
      <c r="DV181" s="1056"/>
      <c r="DW181" s="1056"/>
      <c r="DX181" s="1056"/>
      <c r="DY181" s="1056"/>
      <c r="DZ181" s="1056"/>
      <c r="EA181" s="1056"/>
      <c r="EB181" s="1056"/>
      <c r="EC181" s="1056"/>
      <c r="ED181" s="1056"/>
      <c r="EE181" s="1056"/>
      <c r="EF181" s="1056"/>
      <c r="EG181" s="1056"/>
      <c r="EH181" s="1056"/>
      <c r="EI181" s="1056"/>
      <c r="EJ181" s="1056"/>
      <c r="EK181" s="1056"/>
      <c r="EL181" s="1056"/>
      <c r="EM181" s="1056"/>
      <c r="EN181" s="1056"/>
      <c r="EO181" s="1056"/>
    </row>
    <row r="182" spans="1:145" s="972" customFormat="1" ht="15">
      <c r="A182" s="1258" t="s">
        <v>1299</v>
      </c>
      <c r="B182" s="1259" t="s">
        <v>1289</v>
      </c>
      <c r="C182" s="645"/>
      <c r="D182" s="645"/>
      <c r="E182" s="1001"/>
      <c r="F182" s="1001"/>
      <c r="G182" s="1003"/>
      <c r="H182" s="1003"/>
      <c r="I182" s="1003"/>
      <c r="J182" s="1003"/>
      <c r="K182" s="1266">
        <v>99628</v>
      </c>
      <c r="L182" s="1137"/>
      <c r="M182" s="1023"/>
      <c r="N182" s="1014"/>
      <c r="O182" s="1015"/>
      <c r="P182" s="1029"/>
      <c r="Q182" s="1006"/>
      <c r="R182" s="1007"/>
      <c r="S182" s="1006"/>
      <c r="T182" s="1006"/>
      <c r="U182" s="1006"/>
      <c r="V182" s="1006"/>
      <c r="W182" s="1029"/>
      <c r="X182" s="1008"/>
      <c r="Y182" s="1006"/>
      <c r="Z182" s="1006"/>
      <c r="AA182" s="1006"/>
      <c r="AB182" s="1006"/>
      <c r="AC182" s="1009"/>
      <c r="AD182" s="1006"/>
      <c r="AE182" s="1006"/>
      <c r="AF182" s="1006"/>
      <c r="AG182" s="1006"/>
      <c r="AH182" s="1009"/>
      <c r="AJ182" s="1052"/>
      <c r="AK182" s="1052"/>
      <c r="AL182" s="1053"/>
      <c r="AM182" s="1220"/>
      <c r="AN182" s="1054"/>
      <c r="AQ182" s="1221"/>
      <c r="AR182" s="1053"/>
      <c r="AS182" s="1220"/>
      <c r="AT182" s="1053"/>
      <c r="AU182" s="1055"/>
      <c r="AY182" s="1056"/>
      <c r="AZ182" s="1056"/>
      <c r="BA182" s="1056"/>
      <c r="BB182" s="1056"/>
      <c r="BC182" s="1056"/>
      <c r="BD182" s="1056"/>
      <c r="BE182" s="1056"/>
      <c r="BF182" s="1056"/>
      <c r="BG182" s="1056"/>
      <c r="BH182" s="1056"/>
      <c r="BI182" s="1056"/>
      <c r="BJ182" s="1056"/>
      <c r="BK182" s="1056"/>
      <c r="BL182" s="1056"/>
      <c r="BM182" s="1056"/>
      <c r="BN182" s="1056"/>
      <c r="BO182" s="1056"/>
      <c r="BP182" s="1056"/>
      <c r="BQ182" s="1056"/>
      <c r="BR182" s="1056"/>
      <c r="BS182" s="1056"/>
      <c r="BT182" s="1056"/>
      <c r="BU182" s="1056"/>
      <c r="BV182" s="1056"/>
      <c r="BW182" s="1056"/>
      <c r="BX182" s="1056"/>
      <c r="BY182" s="1056"/>
      <c r="BZ182" s="1056"/>
      <c r="CA182" s="1056"/>
      <c r="CB182" s="1056"/>
      <c r="CC182" s="1056"/>
      <c r="CD182" s="1056"/>
      <c r="CE182" s="1056"/>
      <c r="CF182" s="1056"/>
      <c r="CG182" s="1056"/>
      <c r="CH182" s="1056"/>
      <c r="CI182" s="1056"/>
      <c r="CJ182" s="1056"/>
      <c r="CK182" s="1056"/>
      <c r="CL182" s="1056"/>
      <c r="CM182" s="1056"/>
      <c r="CN182" s="1056"/>
      <c r="CO182" s="1056"/>
      <c r="CP182" s="1056"/>
      <c r="CQ182" s="1056"/>
      <c r="CR182" s="1056"/>
      <c r="CS182" s="1056"/>
      <c r="CT182" s="1056"/>
      <c r="CU182" s="1056"/>
      <c r="CV182" s="1056"/>
      <c r="CW182" s="1056"/>
      <c r="CX182" s="1056"/>
      <c r="CY182" s="1056"/>
      <c r="CZ182" s="1056"/>
      <c r="DA182" s="1056"/>
      <c r="DB182" s="1056"/>
      <c r="DC182" s="1056"/>
      <c r="DD182" s="1056"/>
      <c r="DE182" s="1056"/>
      <c r="DF182" s="1056"/>
      <c r="DG182" s="1056"/>
      <c r="DH182" s="1056"/>
      <c r="DI182" s="1056"/>
      <c r="DJ182" s="1056"/>
      <c r="DK182" s="1056"/>
      <c r="DL182" s="1056"/>
      <c r="DM182" s="1056"/>
      <c r="DN182" s="1056"/>
      <c r="DO182" s="1056"/>
      <c r="DP182" s="1056"/>
      <c r="DQ182" s="1056"/>
      <c r="DR182" s="1056"/>
      <c r="DS182" s="1056"/>
      <c r="DT182" s="1056"/>
      <c r="DU182" s="1056"/>
      <c r="DV182" s="1056"/>
      <c r="DW182" s="1056"/>
      <c r="DX182" s="1056"/>
      <c r="DY182" s="1056"/>
      <c r="DZ182" s="1056"/>
      <c r="EA182" s="1056"/>
      <c r="EB182" s="1056"/>
      <c r="EC182" s="1056"/>
      <c r="ED182" s="1056"/>
      <c r="EE182" s="1056"/>
      <c r="EF182" s="1056"/>
      <c r="EG182" s="1056"/>
      <c r="EH182" s="1056"/>
      <c r="EI182" s="1056"/>
      <c r="EJ182" s="1056"/>
      <c r="EK182" s="1056"/>
      <c r="EL182" s="1056"/>
      <c r="EM182" s="1056"/>
      <c r="EN182" s="1056"/>
      <c r="EO182" s="1056"/>
    </row>
    <row r="183" spans="1:145" s="972" customFormat="1" ht="15">
      <c r="A183" s="1258" t="s">
        <v>1300</v>
      </c>
      <c r="B183" s="1259" t="s">
        <v>1303</v>
      </c>
      <c r="C183" s="645"/>
      <c r="D183" s="645"/>
      <c r="E183" s="1001"/>
      <c r="F183" s="1001"/>
      <c r="G183" s="1003"/>
      <c r="H183" s="1003"/>
      <c r="I183" s="1003"/>
      <c r="J183" s="1003"/>
      <c r="K183" s="1266">
        <v>19380</v>
      </c>
      <c r="L183" s="1137"/>
      <c r="M183" s="1023"/>
      <c r="N183" s="1014"/>
      <c r="O183" s="1015"/>
      <c r="P183" s="1029"/>
      <c r="Q183" s="1006"/>
      <c r="R183" s="1007"/>
      <c r="S183" s="1006"/>
      <c r="T183" s="1006"/>
      <c r="U183" s="1006"/>
      <c r="V183" s="1006"/>
      <c r="W183" s="1029"/>
      <c r="X183" s="1008"/>
      <c r="Y183" s="1006"/>
      <c r="Z183" s="1006"/>
      <c r="AA183" s="1006"/>
      <c r="AB183" s="1006"/>
      <c r="AC183" s="1009"/>
      <c r="AD183" s="1006"/>
      <c r="AE183" s="1006"/>
      <c r="AF183" s="1006"/>
      <c r="AG183" s="1006"/>
      <c r="AH183" s="1009"/>
      <c r="AJ183" s="1052"/>
      <c r="AK183" s="1052"/>
      <c r="AL183" s="1053"/>
      <c r="AM183" s="1220"/>
      <c r="AN183" s="1054"/>
      <c r="AQ183" s="1221"/>
      <c r="AR183" s="1053"/>
      <c r="AS183" s="1220"/>
      <c r="AT183" s="1053"/>
      <c r="AU183" s="1055"/>
      <c r="AY183" s="1056"/>
      <c r="AZ183" s="1056"/>
      <c r="BA183" s="1056"/>
      <c r="BB183" s="1056"/>
      <c r="BC183" s="1056"/>
      <c r="BD183" s="1056"/>
      <c r="BE183" s="1056"/>
      <c r="BF183" s="1056"/>
      <c r="BG183" s="1056"/>
      <c r="BH183" s="1056"/>
      <c r="BI183" s="1056"/>
      <c r="BJ183" s="1056"/>
      <c r="BK183" s="1056"/>
      <c r="BL183" s="1056"/>
      <c r="BM183" s="1056"/>
      <c r="BN183" s="1056"/>
      <c r="BO183" s="1056"/>
      <c r="BP183" s="1056"/>
      <c r="BQ183" s="1056"/>
      <c r="BR183" s="1056"/>
      <c r="BS183" s="1056"/>
      <c r="BT183" s="1056"/>
      <c r="BU183" s="1056"/>
      <c r="BV183" s="1056"/>
      <c r="BW183" s="1056"/>
      <c r="BX183" s="1056"/>
      <c r="BY183" s="1056"/>
      <c r="BZ183" s="1056"/>
      <c r="CA183" s="1056"/>
      <c r="CB183" s="1056"/>
      <c r="CC183" s="1056"/>
      <c r="CD183" s="1056"/>
      <c r="CE183" s="1056"/>
      <c r="CF183" s="1056"/>
      <c r="CG183" s="1056"/>
      <c r="CH183" s="1056"/>
      <c r="CI183" s="1056"/>
      <c r="CJ183" s="1056"/>
      <c r="CK183" s="1056"/>
      <c r="CL183" s="1056"/>
      <c r="CM183" s="1056"/>
      <c r="CN183" s="1056"/>
      <c r="CO183" s="1056"/>
      <c r="CP183" s="1056"/>
      <c r="CQ183" s="1056"/>
      <c r="CR183" s="1056"/>
      <c r="CS183" s="1056"/>
      <c r="CT183" s="1056"/>
      <c r="CU183" s="1056"/>
      <c r="CV183" s="1056"/>
      <c r="CW183" s="1056"/>
      <c r="CX183" s="1056"/>
      <c r="CY183" s="1056"/>
      <c r="CZ183" s="1056"/>
      <c r="DA183" s="1056"/>
      <c r="DB183" s="1056"/>
      <c r="DC183" s="1056"/>
      <c r="DD183" s="1056"/>
      <c r="DE183" s="1056"/>
      <c r="DF183" s="1056"/>
      <c r="DG183" s="1056"/>
      <c r="DH183" s="1056"/>
      <c r="DI183" s="1056"/>
      <c r="DJ183" s="1056"/>
      <c r="DK183" s="1056"/>
      <c r="DL183" s="1056"/>
      <c r="DM183" s="1056"/>
      <c r="DN183" s="1056"/>
      <c r="DO183" s="1056"/>
      <c r="DP183" s="1056"/>
      <c r="DQ183" s="1056"/>
      <c r="DR183" s="1056"/>
      <c r="DS183" s="1056"/>
      <c r="DT183" s="1056"/>
      <c r="DU183" s="1056"/>
      <c r="DV183" s="1056"/>
      <c r="DW183" s="1056"/>
      <c r="DX183" s="1056"/>
      <c r="DY183" s="1056"/>
      <c r="DZ183" s="1056"/>
      <c r="EA183" s="1056"/>
      <c r="EB183" s="1056"/>
      <c r="EC183" s="1056"/>
      <c r="ED183" s="1056"/>
      <c r="EE183" s="1056"/>
      <c r="EF183" s="1056"/>
      <c r="EG183" s="1056"/>
      <c r="EH183" s="1056"/>
      <c r="EI183" s="1056"/>
      <c r="EJ183" s="1056"/>
      <c r="EK183" s="1056"/>
      <c r="EL183" s="1056"/>
      <c r="EM183" s="1056"/>
      <c r="EN183" s="1056"/>
      <c r="EO183" s="1056"/>
    </row>
    <row r="184" spans="1:145" s="972" customFormat="1" ht="15">
      <c r="A184" s="1258" t="s">
        <v>511</v>
      </c>
      <c r="B184" s="1259"/>
      <c r="C184" s="645"/>
      <c r="D184" s="645"/>
      <c r="E184" s="1001"/>
      <c r="F184" s="1001"/>
      <c r="G184" s="1003"/>
      <c r="H184" s="1003"/>
      <c r="I184" s="1003"/>
      <c r="J184" s="1003"/>
      <c r="K184" s="1266">
        <v>195240</v>
      </c>
      <c r="L184" s="1137"/>
      <c r="M184" s="1023"/>
      <c r="N184" s="1014"/>
      <c r="O184" s="1015"/>
      <c r="P184" s="1029"/>
      <c r="Q184" s="1006"/>
      <c r="R184" s="1007"/>
      <c r="S184" s="1006"/>
      <c r="T184" s="1006"/>
      <c r="U184" s="1006"/>
      <c r="V184" s="1006"/>
      <c r="W184" s="1029"/>
      <c r="X184" s="1008"/>
      <c r="Y184" s="1006"/>
      <c r="Z184" s="1006"/>
      <c r="AA184" s="1006"/>
      <c r="AB184" s="1006"/>
      <c r="AC184" s="1009"/>
      <c r="AD184" s="1006"/>
      <c r="AE184" s="1006"/>
      <c r="AF184" s="1006"/>
      <c r="AG184" s="1006"/>
      <c r="AH184" s="1009"/>
      <c r="AJ184" s="1052"/>
      <c r="AK184" s="1052"/>
      <c r="AL184" s="1053"/>
      <c r="AM184" s="1220"/>
      <c r="AN184" s="1054"/>
      <c r="AQ184" s="1221"/>
      <c r="AR184" s="1053"/>
      <c r="AS184" s="1220"/>
      <c r="AT184" s="1053"/>
      <c r="AU184" s="1055"/>
      <c r="AY184" s="1056"/>
      <c r="AZ184" s="1056"/>
      <c r="BA184" s="1056"/>
      <c r="BB184" s="1056"/>
      <c r="BC184" s="1056"/>
      <c r="BD184" s="1056"/>
      <c r="BE184" s="1056"/>
      <c r="BF184" s="1056"/>
      <c r="BG184" s="1056"/>
      <c r="BH184" s="1056"/>
      <c r="BI184" s="1056"/>
      <c r="BJ184" s="1056"/>
      <c r="BK184" s="1056"/>
      <c r="BL184" s="1056"/>
      <c r="BM184" s="1056"/>
      <c r="BN184" s="1056"/>
      <c r="BO184" s="1056"/>
      <c r="BP184" s="1056"/>
      <c r="BQ184" s="1056"/>
      <c r="BR184" s="1056"/>
      <c r="BS184" s="1056"/>
      <c r="BT184" s="1056"/>
      <c r="BU184" s="1056"/>
      <c r="BV184" s="1056"/>
      <c r="BW184" s="1056"/>
      <c r="BX184" s="1056"/>
      <c r="BY184" s="1056"/>
      <c r="BZ184" s="1056"/>
      <c r="CA184" s="1056"/>
      <c r="CB184" s="1056"/>
      <c r="CC184" s="1056"/>
      <c r="CD184" s="1056"/>
      <c r="CE184" s="1056"/>
      <c r="CF184" s="1056"/>
      <c r="CG184" s="1056"/>
      <c r="CH184" s="1056"/>
      <c r="CI184" s="1056"/>
      <c r="CJ184" s="1056"/>
      <c r="CK184" s="1056"/>
      <c r="CL184" s="1056"/>
      <c r="CM184" s="1056"/>
      <c r="CN184" s="1056"/>
      <c r="CO184" s="1056"/>
      <c r="CP184" s="1056"/>
      <c r="CQ184" s="1056"/>
      <c r="CR184" s="1056"/>
      <c r="CS184" s="1056"/>
      <c r="CT184" s="1056"/>
      <c r="CU184" s="1056"/>
      <c r="CV184" s="1056"/>
      <c r="CW184" s="1056"/>
      <c r="CX184" s="1056"/>
      <c r="CY184" s="1056"/>
      <c r="CZ184" s="1056"/>
      <c r="DA184" s="1056"/>
      <c r="DB184" s="1056"/>
      <c r="DC184" s="1056"/>
      <c r="DD184" s="1056"/>
      <c r="DE184" s="1056"/>
      <c r="DF184" s="1056"/>
      <c r="DG184" s="1056"/>
      <c r="DH184" s="1056"/>
      <c r="DI184" s="1056"/>
      <c r="DJ184" s="1056"/>
      <c r="DK184" s="1056"/>
      <c r="DL184" s="1056"/>
      <c r="DM184" s="1056"/>
      <c r="DN184" s="1056"/>
      <c r="DO184" s="1056"/>
      <c r="DP184" s="1056"/>
      <c r="DQ184" s="1056"/>
      <c r="DR184" s="1056"/>
      <c r="DS184" s="1056"/>
      <c r="DT184" s="1056"/>
      <c r="DU184" s="1056"/>
      <c r="DV184" s="1056"/>
      <c r="DW184" s="1056"/>
      <c r="DX184" s="1056"/>
      <c r="DY184" s="1056"/>
      <c r="DZ184" s="1056"/>
      <c r="EA184" s="1056"/>
      <c r="EB184" s="1056"/>
      <c r="EC184" s="1056"/>
      <c r="ED184" s="1056"/>
      <c r="EE184" s="1056"/>
      <c r="EF184" s="1056"/>
      <c r="EG184" s="1056"/>
      <c r="EH184" s="1056"/>
      <c r="EI184" s="1056"/>
      <c r="EJ184" s="1056"/>
      <c r="EK184" s="1056"/>
      <c r="EL184" s="1056"/>
      <c r="EM184" s="1056"/>
      <c r="EN184" s="1056"/>
      <c r="EO184" s="1056"/>
    </row>
    <row r="185" spans="1:145" s="972" customFormat="1" ht="15">
      <c r="A185" s="1258" t="s">
        <v>1911</v>
      </c>
      <c r="B185" s="1259"/>
      <c r="C185" s="645"/>
      <c r="D185" s="645"/>
      <c r="E185" s="1001"/>
      <c r="F185" s="1001"/>
      <c r="G185" s="1003"/>
      <c r="H185" s="1003"/>
      <c r="I185" s="1003"/>
      <c r="J185" s="1003"/>
      <c r="K185" s="1266">
        <v>400000</v>
      </c>
      <c r="L185" s="1137"/>
      <c r="M185" s="1023"/>
      <c r="N185" s="1014"/>
      <c r="O185" s="1015"/>
      <c r="P185" s="1029"/>
      <c r="Q185" s="1006"/>
      <c r="R185" s="1007"/>
      <c r="S185" s="1006"/>
      <c r="T185" s="1006"/>
      <c r="U185" s="1006"/>
      <c r="V185" s="1006"/>
      <c r="W185" s="1029"/>
      <c r="X185" s="1008"/>
      <c r="Y185" s="1006"/>
      <c r="Z185" s="1006"/>
      <c r="AA185" s="1006"/>
      <c r="AB185" s="1006"/>
      <c r="AC185" s="1009"/>
      <c r="AD185" s="1006"/>
      <c r="AE185" s="1006"/>
      <c r="AF185" s="1006"/>
      <c r="AG185" s="1006"/>
      <c r="AH185" s="1009"/>
      <c r="AJ185" s="1052"/>
      <c r="AK185" s="1052"/>
      <c r="AL185" s="1053"/>
      <c r="AM185" s="1220"/>
      <c r="AN185" s="1054"/>
      <c r="AQ185" s="1221"/>
      <c r="AR185" s="1053"/>
      <c r="AS185" s="1220"/>
      <c r="AT185" s="1053"/>
      <c r="AU185" s="1055"/>
      <c r="AY185" s="1056"/>
      <c r="AZ185" s="1056"/>
      <c r="BA185" s="1056"/>
      <c r="BB185" s="1056"/>
      <c r="BC185" s="1056"/>
      <c r="BD185" s="1056"/>
      <c r="BE185" s="1056"/>
      <c r="BF185" s="1056"/>
      <c r="BG185" s="1056"/>
      <c r="BH185" s="1056"/>
      <c r="BI185" s="1056"/>
      <c r="BJ185" s="1056"/>
      <c r="BK185" s="1056"/>
      <c r="BL185" s="1056"/>
      <c r="BM185" s="1056"/>
      <c r="BN185" s="1056"/>
      <c r="BO185" s="1056"/>
      <c r="BP185" s="1056"/>
      <c r="BQ185" s="1056"/>
      <c r="BR185" s="1056"/>
      <c r="BS185" s="1056"/>
      <c r="BT185" s="1056"/>
      <c r="BU185" s="1056"/>
      <c r="BV185" s="1056"/>
      <c r="BW185" s="1056"/>
      <c r="BX185" s="1056"/>
      <c r="BY185" s="1056"/>
      <c r="BZ185" s="1056"/>
      <c r="CA185" s="1056"/>
      <c r="CB185" s="1056"/>
      <c r="CC185" s="1056"/>
      <c r="CD185" s="1056"/>
      <c r="CE185" s="1056"/>
      <c r="CF185" s="1056"/>
      <c r="CG185" s="1056"/>
      <c r="CH185" s="1056"/>
      <c r="CI185" s="1056"/>
      <c r="CJ185" s="1056"/>
      <c r="CK185" s="1056"/>
      <c r="CL185" s="1056"/>
      <c r="CM185" s="1056"/>
      <c r="CN185" s="1056"/>
      <c r="CO185" s="1056"/>
      <c r="CP185" s="1056"/>
      <c r="CQ185" s="1056"/>
      <c r="CR185" s="1056"/>
      <c r="CS185" s="1056"/>
      <c r="CT185" s="1056"/>
      <c r="CU185" s="1056"/>
      <c r="CV185" s="1056"/>
      <c r="CW185" s="1056"/>
      <c r="CX185" s="1056"/>
      <c r="CY185" s="1056"/>
      <c r="CZ185" s="1056"/>
      <c r="DA185" s="1056"/>
      <c r="DB185" s="1056"/>
      <c r="DC185" s="1056"/>
      <c r="DD185" s="1056"/>
      <c r="DE185" s="1056"/>
      <c r="DF185" s="1056"/>
      <c r="DG185" s="1056"/>
      <c r="DH185" s="1056"/>
      <c r="DI185" s="1056"/>
      <c r="DJ185" s="1056"/>
      <c r="DK185" s="1056"/>
      <c r="DL185" s="1056"/>
      <c r="DM185" s="1056"/>
      <c r="DN185" s="1056"/>
      <c r="DO185" s="1056"/>
      <c r="DP185" s="1056"/>
      <c r="DQ185" s="1056"/>
      <c r="DR185" s="1056"/>
      <c r="DS185" s="1056"/>
      <c r="DT185" s="1056"/>
      <c r="DU185" s="1056"/>
      <c r="DV185" s="1056"/>
      <c r="DW185" s="1056"/>
      <c r="DX185" s="1056"/>
      <c r="DY185" s="1056"/>
      <c r="DZ185" s="1056"/>
      <c r="EA185" s="1056"/>
      <c r="EB185" s="1056"/>
      <c r="EC185" s="1056"/>
      <c r="ED185" s="1056"/>
      <c r="EE185" s="1056"/>
      <c r="EF185" s="1056"/>
      <c r="EG185" s="1056"/>
      <c r="EH185" s="1056"/>
      <c r="EI185" s="1056"/>
      <c r="EJ185" s="1056"/>
      <c r="EK185" s="1056"/>
      <c r="EL185" s="1056"/>
      <c r="EM185" s="1056"/>
      <c r="EN185" s="1056"/>
      <c r="EO185" s="1056"/>
    </row>
    <row r="186" spans="1:145" s="972" customFormat="1" ht="15">
      <c r="A186" s="1258" t="s">
        <v>1301</v>
      </c>
      <c r="B186" s="1259" t="s">
        <v>1304</v>
      </c>
      <c r="C186" s="645"/>
      <c r="D186" s="645"/>
      <c r="E186" s="1001"/>
      <c r="F186" s="1001"/>
      <c r="G186" s="1003"/>
      <c r="H186" s="1003"/>
      <c r="I186" s="1003"/>
      <c r="J186" s="1003"/>
      <c r="K186" s="1266">
        <v>47720</v>
      </c>
      <c r="L186" s="1137"/>
      <c r="M186" s="1023"/>
      <c r="N186" s="1014"/>
      <c r="O186" s="1015"/>
      <c r="P186" s="1029"/>
      <c r="Q186" s="1006"/>
      <c r="R186" s="1007"/>
      <c r="S186" s="1006"/>
      <c r="T186" s="1006"/>
      <c r="U186" s="1006"/>
      <c r="V186" s="1006"/>
      <c r="W186" s="1029"/>
      <c r="X186" s="1008"/>
      <c r="Y186" s="1006"/>
      <c r="Z186" s="1006"/>
      <c r="AA186" s="1006"/>
      <c r="AB186" s="1006"/>
      <c r="AC186" s="1009"/>
      <c r="AD186" s="1006"/>
      <c r="AE186" s="1006"/>
      <c r="AF186" s="1006"/>
      <c r="AG186" s="1006"/>
      <c r="AH186" s="1009"/>
      <c r="AJ186" s="1052"/>
      <c r="AK186" s="1052"/>
      <c r="AL186" s="1053"/>
      <c r="AM186" s="1220"/>
      <c r="AN186" s="1054"/>
      <c r="AQ186" s="1221"/>
      <c r="AR186" s="1053"/>
      <c r="AS186" s="1220"/>
      <c r="AT186" s="1053"/>
      <c r="AU186" s="1055"/>
      <c r="AY186" s="1056"/>
      <c r="AZ186" s="1056"/>
      <c r="BA186" s="1056"/>
      <c r="BB186" s="1056"/>
      <c r="BC186" s="1056"/>
      <c r="BD186" s="1056"/>
      <c r="BE186" s="1056"/>
      <c r="BF186" s="1056"/>
      <c r="BG186" s="1056"/>
      <c r="BH186" s="1056"/>
      <c r="BI186" s="1056"/>
      <c r="BJ186" s="1056"/>
      <c r="BK186" s="1056"/>
      <c r="BL186" s="1056"/>
      <c r="BM186" s="1056"/>
      <c r="BN186" s="1056"/>
      <c r="BO186" s="1056"/>
      <c r="BP186" s="1056"/>
      <c r="BQ186" s="1056"/>
      <c r="BR186" s="1056"/>
      <c r="BS186" s="1056"/>
      <c r="BT186" s="1056"/>
      <c r="BU186" s="1056"/>
      <c r="BV186" s="1056"/>
      <c r="BW186" s="1056"/>
      <c r="BX186" s="1056"/>
      <c r="BY186" s="1056"/>
      <c r="BZ186" s="1056"/>
      <c r="CA186" s="1056"/>
      <c r="CB186" s="1056"/>
      <c r="CC186" s="1056"/>
      <c r="CD186" s="1056"/>
      <c r="CE186" s="1056"/>
      <c r="CF186" s="1056"/>
      <c r="CG186" s="1056"/>
      <c r="CH186" s="1056"/>
      <c r="CI186" s="1056"/>
      <c r="CJ186" s="1056"/>
      <c r="CK186" s="1056"/>
      <c r="CL186" s="1056"/>
      <c r="CM186" s="1056"/>
      <c r="CN186" s="1056"/>
      <c r="CO186" s="1056"/>
      <c r="CP186" s="1056"/>
      <c r="CQ186" s="1056"/>
      <c r="CR186" s="1056"/>
      <c r="CS186" s="1056"/>
      <c r="CT186" s="1056"/>
      <c r="CU186" s="1056"/>
      <c r="CV186" s="1056"/>
      <c r="CW186" s="1056"/>
      <c r="CX186" s="1056"/>
      <c r="CY186" s="1056"/>
      <c r="CZ186" s="1056"/>
      <c r="DA186" s="1056"/>
      <c r="DB186" s="1056"/>
      <c r="DC186" s="1056"/>
      <c r="DD186" s="1056"/>
      <c r="DE186" s="1056"/>
      <c r="DF186" s="1056"/>
      <c r="DG186" s="1056"/>
      <c r="DH186" s="1056"/>
      <c r="DI186" s="1056"/>
      <c r="DJ186" s="1056"/>
      <c r="DK186" s="1056"/>
      <c r="DL186" s="1056"/>
      <c r="DM186" s="1056"/>
      <c r="DN186" s="1056"/>
      <c r="DO186" s="1056"/>
      <c r="DP186" s="1056"/>
      <c r="DQ186" s="1056"/>
      <c r="DR186" s="1056"/>
      <c r="DS186" s="1056"/>
      <c r="DT186" s="1056"/>
      <c r="DU186" s="1056"/>
      <c r="DV186" s="1056"/>
      <c r="DW186" s="1056"/>
      <c r="DX186" s="1056"/>
      <c r="DY186" s="1056"/>
      <c r="DZ186" s="1056"/>
      <c r="EA186" s="1056"/>
      <c r="EB186" s="1056"/>
      <c r="EC186" s="1056"/>
      <c r="ED186" s="1056"/>
      <c r="EE186" s="1056"/>
      <c r="EF186" s="1056"/>
      <c r="EG186" s="1056"/>
      <c r="EH186" s="1056"/>
      <c r="EI186" s="1056"/>
      <c r="EJ186" s="1056"/>
      <c r="EK186" s="1056"/>
      <c r="EL186" s="1056"/>
      <c r="EM186" s="1056"/>
      <c r="EN186" s="1056"/>
      <c r="EO186" s="1056"/>
    </row>
    <row r="187" spans="1:145" s="1010" customFormat="1" ht="15" hidden="1">
      <c r="A187" s="1258" t="s">
        <v>1275</v>
      </c>
      <c r="B187" s="1259" t="s">
        <v>1280</v>
      </c>
      <c r="C187" s="645"/>
      <c r="D187" s="645"/>
      <c r="E187" s="1001"/>
      <c r="F187" s="1001"/>
      <c r="G187" s="1003"/>
      <c r="H187" s="1003"/>
      <c r="I187" s="1003"/>
      <c r="J187" s="1003"/>
      <c r="K187" s="1002">
        <v>14168</v>
      </c>
      <c r="L187" s="1177"/>
      <c r="M187" s="863"/>
      <c r="N187" s="1007"/>
      <c r="O187" s="1015"/>
      <c r="P187" s="1006"/>
      <c r="Q187" s="1006"/>
      <c r="R187" s="1007"/>
      <c r="S187" s="1006"/>
      <c r="T187" s="1006"/>
      <c r="U187" s="1006"/>
      <c r="V187" s="1006"/>
      <c r="W187" s="1006"/>
      <c r="X187" s="1008"/>
      <c r="Y187" s="1006"/>
      <c r="Z187" s="1006"/>
      <c r="AA187" s="1006"/>
      <c r="AB187" s="1006"/>
      <c r="AC187" s="1008"/>
      <c r="AD187" s="1006"/>
      <c r="AE187" s="1006"/>
      <c r="AF187" s="1006"/>
      <c r="AG187" s="1006"/>
      <c r="AH187" s="1008"/>
      <c r="AJ187" s="1011"/>
      <c r="AK187" s="1011"/>
      <c r="AL187" s="863"/>
      <c r="AM187" s="1177"/>
      <c r="AN187" s="1012"/>
      <c r="AQ187" s="1209"/>
      <c r="AR187" s="863"/>
      <c r="AS187" s="1177"/>
      <c r="AT187" s="863"/>
      <c r="AU187" s="1007"/>
      <c r="AY187" s="994"/>
      <c r="AZ187" s="994"/>
      <c r="BA187" s="994"/>
      <c r="BB187" s="994"/>
      <c r="BC187" s="994"/>
      <c r="BD187" s="994"/>
      <c r="BE187" s="994"/>
      <c r="BF187" s="994"/>
      <c r="BG187" s="994"/>
      <c r="BH187" s="994"/>
      <c r="BI187" s="994"/>
      <c r="BJ187" s="994"/>
      <c r="BK187" s="994"/>
      <c r="BL187" s="994"/>
      <c r="BM187" s="994"/>
      <c r="BN187" s="994"/>
      <c r="BO187" s="994"/>
      <c r="BP187" s="994"/>
      <c r="BQ187" s="994"/>
      <c r="BR187" s="994"/>
      <c r="BS187" s="994"/>
      <c r="BT187" s="994"/>
      <c r="BU187" s="994"/>
      <c r="BV187" s="994"/>
      <c r="BW187" s="994"/>
      <c r="BX187" s="994"/>
      <c r="BY187" s="994"/>
      <c r="BZ187" s="994"/>
      <c r="CA187" s="994"/>
      <c r="CB187" s="994"/>
      <c r="CC187" s="994"/>
      <c r="CD187" s="994"/>
      <c r="CE187" s="994"/>
      <c r="CF187" s="994"/>
      <c r="CG187" s="994"/>
      <c r="CH187" s="994"/>
      <c r="CI187" s="994"/>
      <c r="CJ187" s="994"/>
      <c r="CK187" s="994"/>
      <c r="CL187" s="994"/>
      <c r="CM187" s="994"/>
      <c r="CN187" s="994"/>
      <c r="CO187" s="994"/>
      <c r="CP187" s="994"/>
      <c r="CQ187" s="994"/>
      <c r="CR187" s="994"/>
      <c r="CS187" s="994"/>
      <c r="CT187" s="994"/>
      <c r="CU187" s="994"/>
      <c r="CV187" s="994"/>
      <c r="CW187" s="994"/>
      <c r="CX187" s="994"/>
      <c r="CY187" s="994"/>
      <c r="CZ187" s="994"/>
      <c r="DA187" s="994"/>
      <c r="DB187" s="994"/>
      <c r="DC187" s="994"/>
      <c r="DD187" s="994"/>
      <c r="DE187" s="994"/>
      <c r="DF187" s="994"/>
      <c r="DG187" s="994"/>
      <c r="DH187" s="994"/>
      <c r="DI187" s="994"/>
      <c r="DJ187" s="994"/>
      <c r="DK187" s="994"/>
      <c r="DL187" s="994"/>
      <c r="DM187" s="994"/>
      <c r="DN187" s="994"/>
      <c r="DO187" s="994"/>
      <c r="DP187" s="994"/>
      <c r="DQ187" s="994"/>
      <c r="DR187" s="994"/>
      <c r="DS187" s="994"/>
      <c r="DT187" s="994"/>
      <c r="DU187" s="994"/>
      <c r="DV187" s="994"/>
      <c r="DW187" s="994"/>
      <c r="DX187" s="994"/>
      <c r="DY187" s="994"/>
      <c r="DZ187" s="994"/>
      <c r="EA187" s="994"/>
      <c r="EB187" s="994"/>
      <c r="EC187" s="994"/>
      <c r="ED187" s="994"/>
      <c r="EE187" s="994"/>
      <c r="EF187" s="994"/>
      <c r="EG187" s="994"/>
      <c r="EH187" s="994"/>
      <c r="EI187" s="994"/>
      <c r="EJ187" s="994"/>
      <c r="EK187" s="994"/>
      <c r="EL187" s="994"/>
      <c r="EM187" s="994"/>
      <c r="EN187" s="994"/>
      <c r="EO187" s="994"/>
    </row>
    <row r="188" spans="1:145" s="1339" customFormat="1" ht="12" customHeight="1">
      <c r="A188" s="1011"/>
      <c r="B188" s="1028"/>
      <c r="C188" s="863"/>
      <c r="D188" s="863"/>
      <c r="E188" s="1012"/>
      <c r="F188" s="1012"/>
      <c r="G188" s="1010"/>
      <c r="H188" s="1010"/>
      <c r="I188" s="1010"/>
      <c r="J188" s="1010"/>
      <c r="K188" s="863"/>
      <c r="L188" s="1137"/>
      <c r="M188" s="1023"/>
      <c r="N188" s="999"/>
      <c r="O188" s="1015"/>
      <c r="P188" s="1029"/>
      <c r="Q188" s="1006"/>
      <c r="R188" s="999"/>
      <c r="S188" s="1006">
        <f>IF($R188="S/L or L",$P188,0)</f>
        <v>0</v>
      </c>
      <c r="T188" s="1006">
        <f>IF($R188="L",$P188,0)</f>
        <v>0</v>
      </c>
      <c r="U188" s="1006">
        <f>IF($R188="S",$P188,0)</f>
        <v>0</v>
      </c>
      <c r="V188" s="1006">
        <f>IF($R188="F",$P188,0)</f>
        <v>0</v>
      </c>
      <c r="W188" s="1029">
        <f>SUM(S188:V188)</f>
        <v>0</v>
      </c>
      <c r="X188" s="1008">
        <v>837220</v>
      </c>
      <c r="Y188" s="1006">
        <f>IF($R188="S/L or L",$K189,0)</f>
        <v>0</v>
      </c>
      <c r="Z188" s="1006">
        <f>IF($R188="L",$K189,0)</f>
        <v>0</v>
      </c>
      <c r="AA188" s="1006">
        <f>IF($R188="S",$K189,0)</f>
        <v>0</v>
      </c>
      <c r="AB188" s="1006">
        <f>IF($R188="F",$K189,0)</f>
        <v>0</v>
      </c>
      <c r="AC188" s="1009">
        <f>SUM(Y188:AB188)</f>
        <v>0</v>
      </c>
      <c r="AD188" s="1006">
        <f>IF($R188="S/L or L",$O188,0)</f>
        <v>0</v>
      </c>
      <c r="AE188" s="1006">
        <f>IF($R188="L",$O188,0)</f>
        <v>0</v>
      </c>
      <c r="AF188" s="1006">
        <f>IF($R188="S",$O188,0)</f>
        <v>0</v>
      </c>
      <c r="AG188" s="1006">
        <f>IF($R188="F",$O188,0)</f>
        <v>0</v>
      </c>
      <c r="AH188" s="1009">
        <f>SUM(AD188:AG188)</f>
        <v>0</v>
      </c>
      <c r="AI188" s="1279"/>
      <c r="AJ188" s="1294"/>
      <c r="AK188" s="1294"/>
      <c r="AL188" s="1295"/>
      <c r="AM188" s="1296"/>
      <c r="AN188" s="1297"/>
      <c r="AO188" s="1279"/>
      <c r="AP188" s="1279"/>
      <c r="AQ188" s="1298"/>
      <c r="AR188" s="1295"/>
      <c r="AS188" s="1296"/>
      <c r="AT188" s="1295"/>
      <c r="AU188" s="1299"/>
      <c r="AV188" s="1279"/>
      <c r="AW188" s="1279"/>
      <c r="AX188" s="1279"/>
      <c r="AY188" s="1279"/>
      <c r="AZ188" s="1279"/>
      <c r="BA188" s="1279"/>
      <c r="BB188" s="1279"/>
      <c r="BC188" s="1279"/>
      <c r="BD188" s="1279"/>
      <c r="BE188" s="1279"/>
      <c r="BF188" s="1279"/>
      <c r="BG188" s="1279"/>
      <c r="BH188" s="1279"/>
      <c r="BI188" s="1279"/>
      <c r="BJ188" s="1279"/>
      <c r="BK188" s="1279"/>
      <c r="BL188" s="1279"/>
      <c r="BM188" s="1279"/>
      <c r="BN188" s="1279"/>
      <c r="BO188" s="1279"/>
      <c r="BP188" s="1279"/>
      <c r="BQ188" s="1279"/>
      <c r="BR188" s="1279"/>
      <c r="BS188" s="1279"/>
      <c r="BT188" s="1279"/>
      <c r="BU188" s="1279"/>
      <c r="BV188" s="1279"/>
      <c r="BW188" s="1279"/>
      <c r="BX188" s="1279"/>
      <c r="BY188" s="1279"/>
      <c r="BZ188" s="1279"/>
      <c r="CA188" s="1279"/>
      <c r="CB188" s="1279"/>
      <c r="CC188" s="1279"/>
      <c r="CD188" s="1279"/>
      <c r="CE188" s="1279"/>
      <c r="CF188" s="1279"/>
      <c r="CG188" s="1279"/>
      <c r="CH188" s="1279"/>
      <c r="CI188" s="1279"/>
      <c r="CJ188" s="1279"/>
      <c r="CK188" s="1279"/>
      <c r="CL188" s="1279"/>
      <c r="CM188" s="1279"/>
      <c r="CN188" s="1279"/>
      <c r="CO188" s="1279"/>
      <c r="CP188" s="1279"/>
      <c r="CQ188" s="1279"/>
      <c r="CR188" s="1279"/>
      <c r="CS188" s="1279"/>
      <c r="CT188" s="1279"/>
      <c r="CU188" s="1279"/>
      <c r="CV188" s="1279"/>
      <c r="CW188" s="1279"/>
      <c r="CX188" s="1279"/>
      <c r="CY188" s="1279"/>
      <c r="CZ188" s="1279"/>
      <c r="DA188" s="1279"/>
      <c r="DB188" s="1279"/>
      <c r="DC188" s="1279"/>
      <c r="DD188" s="1279"/>
      <c r="DE188" s="1279"/>
      <c r="DF188" s="1279"/>
      <c r="DG188" s="1279"/>
      <c r="DH188" s="1279"/>
      <c r="DI188" s="1279"/>
      <c r="DJ188" s="1279"/>
      <c r="DK188" s="1279"/>
      <c r="DL188" s="1279"/>
      <c r="DM188" s="1279"/>
      <c r="DN188" s="1279"/>
      <c r="DO188" s="1279"/>
      <c r="DP188" s="1279"/>
      <c r="DQ188" s="1279"/>
      <c r="DR188" s="1279"/>
      <c r="DS188" s="1279"/>
      <c r="DT188" s="1279"/>
      <c r="DU188" s="1279"/>
      <c r="DV188" s="1279"/>
      <c r="DW188" s="1279"/>
      <c r="DX188" s="1279"/>
      <c r="DY188" s="1279"/>
      <c r="DZ188" s="1279"/>
      <c r="EA188" s="1279"/>
      <c r="EB188" s="1279"/>
      <c r="EC188" s="1279"/>
      <c r="ED188" s="1279"/>
      <c r="EE188" s="1279"/>
      <c r="EF188" s="1279"/>
      <c r="EG188" s="1279"/>
      <c r="EH188" s="1279"/>
      <c r="EI188" s="1279"/>
      <c r="EJ188" s="1279"/>
      <c r="EK188" s="1279"/>
      <c r="EL188" s="1279"/>
      <c r="EM188" s="1279"/>
      <c r="EN188" s="1279"/>
      <c r="EO188" s="1279"/>
    </row>
    <row r="189" spans="1:145" ht="15">
      <c r="A189" s="760"/>
      <c r="B189" s="1340"/>
      <c r="C189" s="1114"/>
      <c r="D189" s="1114"/>
      <c r="E189" s="995"/>
      <c r="F189" s="995"/>
      <c r="G189" s="1111"/>
      <c r="H189" s="1111"/>
      <c r="I189" s="1003"/>
      <c r="J189" s="1003"/>
      <c r="K189" s="1023"/>
      <c r="L189" s="1138"/>
      <c r="M189" s="1003"/>
      <c r="N189" s="1027"/>
      <c r="O189" s="1027"/>
      <c r="P189" s="1006"/>
      <c r="Q189" s="1006"/>
      <c r="R189" s="1007"/>
      <c r="S189" s="1006"/>
      <c r="T189" s="1006"/>
      <c r="U189" s="1006"/>
      <c r="V189" s="1006"/>
      <c r="W189" s="1006"/>
      <c r="X189" s="1008"/>
      <c r="Y189" s="1008"/>
      <c r="Z189" s="1008"/>
      <c r="AA189" s="1008"/>
      <c r="AB189" s="1008"/>
      <c r="AC189" s="1008"/>
      <c r="AD189" s="1008"/>
      <c r="AE189" s="1008"/>
      <c r="AF189" s="1008"/>
      <c r="AG189" s="1008"/>
      <c r="AH189" s="1008"/>
      <c r="AI189" s="1279"/>
      <c r="AJ189" s="1294"/>
      <c r="AK189" s="1294"/>
      <c r="AL189" s="1295"/>
      <c r="AM189" s="1296"/>
      <c r="AN189" s="1297"/>
      <c r="AO189" s="1279"/>
      <c r="AP189" s="1279"/>
      <c r="AQ189" s="1298"/>
      <c r="AR189" s="1295"/>
      <c r="AS189" s="1296"/>
      <c r="AT189" s="1295"/>
      <c r="AU189" s="1299"/>
      <c r="AV189" s="1339"/>
      <c r="AW189" s="1339"/>
      <c r="AX189" s="1339"/>
      <c r="AY189" s="1279"/>
      <c r="AZ189" s="1279"/>
      <c r="BA189" s="1279"/>
      <c r="BB189" s="1279"/>
      <c r="BC189" s="1279"/>
      <c r="BD189" s="1279"/>
      <c r="BE189" s="1279"/>
      <c r="BF189" s="1279"/>
      <c r="BG189" s="1279"/>
      <c r="BH189" s="1279"/>
      <c r="BI189" s="1279"/>
      <c r="BJ189" s="1279"/>
      <c r="BK189" s="1279"/>
      <c r="BL189" s="1279"/>
      <c r="BM189" s="1279"/>
      <c r="BN189" s="1279"/>
      <c r="BO189" s="1279"/>
      <c r="BP189" s="1279"/>
      <c r="BQ189" s="1279"/>
      <c r="BR189" s="1279"/>
      <c r="BS189" s="1279"/>
      <c r="BT189" s="1279"/>
      <c r="BU189" s="1279"/>
      <c r="BV189" s="1279"/>
      <c r="BW189" s="1279"/>
      <c r="BX189" s="1279"/>
      <c r="BY189" s="1279"/>
      <c r="BZ189" s="1279"/>
      <c r="CA189" s="1279"/>
      <c r="CB189" s="1279"/>
      <c r="CC189" s="1279"/>
      <c r="CD189" s="1279"/>
      <c r="CE189" s="1279"/>
      <c r="CF189" s="1279"/>
      <c r="CG189" s="1279"/>
      <c r="CH189" s="1279"/>
      <c r="CI189" s="1279"/>
      <c r="CJ189" s="1279"/>
      <c r="CK189" s="1279"/>
      <c r="CL189" s="1279"/>
      <c r="CM189" s="1279"/>
      <c r="CN189" s="1279"/>
      <c r="CO189" s="1279"/>
      <c r="CP189" s="1279"/>
      <c r="CQ189" s="1279"/>
      <c r="CR189" s="1279"/>
      <c r="CS189" s="1279"/>
      <c r="CT189" s="1279"/>
      <c r="CU189" s="1279"/>
      <c r="CV189" s="1279"/>
      <c r="CW189" s="1279"/>
      <c r="CX189" s="1279"/>
      <c r="CY189" s="1279"/>
      <c r="CZ189" s="1279"/>
      <c r="DA189" s="1279"/>
      <c r="DB189" s="1279"/>
      <c r="DC189" s="1279"/>
      <c r="DD189" s="1279"/>
      <c r="DE189" s="1279"/>
      <c r="DF189" s="1279"/>
      <c r="DG189" s="1279"/>
      <c r="DH189" s="1279"/>
      <c r="DI189" s="1279"/>
      <c r="DJ189" s="1279"/>
      <c r="DK189" s="1279"/>
      <c r="DL189" s="1279"/>
      <c r="DM189" s="1279"/>
      <c r="DN189" s="1279"/>
      <c r="DO189" s="1279"/>
      <c r="DP189" s="1279"/>
      <c r="DQ189" s="1279"/>
      <c r="DR189" s="1279"/>
      <c r="DS189" s="1279"/>
      <c r="DT189" s="1279"/>
      <c r="DU189" s="1279"/>
      <c r="DV189" s="1279"/>
      <c r="DW189" s="1279"/>
      <c r="DX189" s="1279"/>
      <c r="DY189" s="1279"/>
      <c r="DZ189" s="1279"/>
      <c r="EA189" s="1279"/>
      <c r="EB189" s="1279"/>
      <c r="EC189" s="1279"/>
      <c r="ED189" s="1279"/>
      <c r="EE189" s="1279"/>
      <c r="EF189" s="1279"/>
      <c r="EG189" s="1279"/>
      <c r="EH189" s="1279"/>
      <c r="EI189" s="1279"/>
      <c r="EJ189" s="1279"/>
      <c r="EK189" s="1279"/>
      <c r="EL189" s="1279"/>
      <c r="EM189" s="1279"/>
      <c r="EN189" s="1279"/>
      <c r="EO189" s="1279"/>
    </row>
    <row r="190" spans="1:145" ht="18">
      <c r="A190" s="1011"/>
      <c r="B190" s="1028"/>
      <c r="C190" s="645"/>
      <c r="D190" s="645"/>
      <c r="I190" s="1003"/>
      <c r="J190" s="1003"/>
      <c r="K190" s="1003"/>
      <c r="L190" s="1327">
        <v>12800000</v>
      </c>
      <c r="M190" s="1326"/>
      <c r="N190" s="1115"/>
      <c r="O190" s="1326"/>
      <c r="P190" s="1326"/>
      <c r="Q190" s="1326"/>
      <c r="R190" s="1041" t="s">
        <v>25</v>
      </c>
      <c r="S190" s="1029" t="e">
        <f>#REF!+#REF!+S178+#REF!+#REF!+#REF!+#REF!+#REF!+S188</f>
        <v>#REF!</v>
      </c>
      <c r="T190" s="1029" t="e">
        <f>#REF!+#REF!+T178+#REF!+#REF!+#REF!+#REF!+#REF!+T188</f>
        <v>#REF!</v>
      </c>
      <c r="U190" s="1029" t="e">
        <f>#REF!+#REF!+U178+#REF!+#REF!+#REF!+#REF!+#REF!+U188</f>
        <v>#REF!</v>
      </c>
      <c r="V190" s="1029" t="e">
        <f>#REF!+#REF!+V178+#REF!+#REF!+#REF!+#REF!+#REF!+V188</f>
        <v>#REF!</v>
      </c>
      <c r="W190" s="1029" t="e">
        <f>#REF!+#REF!+W178+#REF!+#REF!+#REF!+#REF!+#REF!+W188</f>
        <v>#REF!</v>
      </c>
      <c r="X190" s="1029" t="e">
        <f>#REF!+#REF!+#REF!+#REF!+#REF!+#REF!+#REF!</f>
        <v>#REF!</v>
      </c>
      <c r="Y190" s="1029" t="e">
        <f>#REF!+#REF!+Y178+#REF!+#REF!+#REF!+#REF!+#REF!+Y188</f>
        <v>#REF!</v>
      </c>
      <c r="Z190" s="1029" t="e">
        <f>#REF!+#REF!+Z178+#REF!+#REF!+#REF!+#REF!+#REF!+Z188</f>
        <v>#REF!</v>
      </c>
      <c r="AA190" s="1029" t="e">
        <f>#REF!+#REF!+AA178+#REF!+#REF!+#REF!+#REF!+#REF!+AA188</f>
        <v>#REF!</v>
      </c>
      <c r="AB190" s="1029" t="e">
        <f>#REF!+#REF!+AB178+#REF!+#REF!+#REF!+#REF!+#REF!+AB188</f>
        <v>#REF!</v>
      </c>
      <c r="AC190" s="1029" t="e">
        <f>#REF!+#REF!+AC178+#REF!+#REF!+#REF!+#REF!+#REF!+AC188</f>
        <v>#REF!</v>
      </c>
      <c r="AD190" s="1029" t="e">
        <f>#REF!+#REF!+AD178+#REF!+#REF!+#REF!+#REF!+#REF!+AD188</f>
        <v>#REF!</v>
      </c>
      <c r="AE190" s="1029" t="e">
        <f>#REF!+#REF!+AE178+#REF!+#REF!+#REF!+#REF!+#REF!+AE188</f>
        <v>#REF!</v>
      </c>
      <c r="AF190" s="1029" t="e">
        <f>#REF!+#REF!+AF178+#REF!+#REF!+#REF!+#REF!+#REF!+AF188</f>
        <v>#REF!</v>
      </c>
      <c r="AG190" s="1029" t="e">
        <f>#REF!+#REF!+AG178+#REF!+#REF!+#REF!+#REF!+#REF!+AG188</f>
        <v>#REF!</v>
      </c>
      <c r="AH190" s="1029" t="e">
        <f>#REF!+#REF!+AH178+#REF!+#REF!+#REF!+#REF!+#REF!+AH188</f>
        <v>#REF!</v>
      </c>
      <c r="AI190" s="1279"/>
      <c r="AJ190" s="1294"/>
      <c r="AK190" s="1294"/>
      <c r="AL190" s="1295"/>
      <c r="AM190" s="1296"/>
      <c r="AN190" s="1297"/>
      <c r="AO190" s="1279"/>
      <c r="AP190" s="1279"/>
      <c r="AQ190" s="1298"/>
      <c r="AR190" s="1295"/>
      <c r="AS190" s="1296"/>
      <c r="AT190" s="1295"/>
      <c r="AU190" s="1299"/>
      <c r="AY190" s="1279"/>
      <c r="AZ190" s="1279"/>
      <c r="BA190" s="1279"/>
      <c r="BB190" s="1279"/>
      <c r="BC190" s="1279"/>
      <c r="BD190" s="1279"/>
      <c r="BE190" s="1279"/>
      <c r="BF190" s="1279"/>
      <c r="BG190" s="1279"/>
      <c r="BH190" s="1279"/>
      <c r="BI190" s="1279"/>
      <c r="BJ190" s="1279"/>
      <c r="BK190" s="1279"/>
      <c r="BL190" s="1279"/>
      <c r="BM190" s="1279"/>
      <c r="BN190" s="1279"/>
      <c r="BO190" s="1279"/>
      <c r="BP190" s="1279"/>
      <c r="BQ190" s="1279"/>
      <c r="BR190" s="1279"/>
      <c r="BS190" s="1279"/>
      <c r="BT190" s="1279"/>
      <c r="BU190" s="1279"/>
      <c r="BV190" s="1279"/>
      <c r="BW190" s="1279"/>
      <c r="BX190" s="1279"/>
      <c r="BY190" s="1279"/>
      <c r="BZ190" s="1279"/>
      <c r="CA190" s="1279"/>
      <c r="CB190" s="1279"/>
      <c r="CC190" s="1279"/>
      <c r="CD190" s="1279"/>
      <c r="CE190" s="1279"/>
      <c r="CF190" s="1279"/>
      <c r="CG190" s="1279"/>
      <c r="CH190" s="1279"/>
      <c r="CI190" s="1279"/>
      <c r="CJ190" s="1279"/>
      <c r="CK190" s="1279"/>
      <c r="CL190" s="1279"/>
      <c r="CM190" s="1279"/>
      <c r="CN190" s="1279"/>
      <c r="CO190" s="1279"/>
      <c r="CP190" s="1279"/>
      <c r="CQ190" s="1279"/>
      <c r="CR190" s="1279"/>
      <c r="CS190" s="1279"/>
      <c r="CT190" s="1279"/>
      <c r="CU190" s="1279"/>
      <c r="CV190" s="1279"/>
      <c r="CW190" s="1279"/>
      <c r="CX190" s="1279"/>
      <c r="CY190" s="1279"/>
      <c r="CZ190" s="1279"/>
      <c r="DA190" s="1279"/>
      <c r="DB190" s="1279"/>
      <c r="DC190" s="1279"/>
      <c r="DD190" s="1279"/>
      <c r="DE190" s="1279"/>
      <c r="DF190" s="1279"/>
      <c r="DG190" s="1279"/>
      <c r="DH190" s="1279"/>
      <c r="DI190" s="1279"/>
      <c r="DJ190" s="1279"/>
      <c r="DK190" s="1279"/>
      <c r="DL190" s="1279"/>
      <c r="DM190" s="1279"/>
      <c r="DN190" s="1279"/>
      <c r="DO190" s="1279"/>
      <c r="DP190" s="1279"/>
      <c r="DQ190" s="1279"/>
      <c r="DR190" s="1279"/>
      <c r="DS190" s="1279"/>
      <c r="DT190" s="1279"/>
      <c r="DU190" s="1279"/>
      <c r="DV190" s="1279"/>
      <c r="DW190" s="1279"/>
      <c r="DX190" s="1279"/>
      <c r="DY190" s="1279"/>
      <c r="DZ190" s="1279"/>
      <c r="EA190" s="1279"/>
      <c r="EB190" s="1279"/>
      <c r="EC190" s="1279"/>
      <c r="ED190" s="1279"/>
      <c r="EE190" s="1279"/>
      <c r="EF190" s="1279"/>
      <c r="EG190" s="1279"/>
      <c r="EH190" s="1279"/>
      <c r="EI190" s="1279"/>
      <c r="EJ190" s="1279"/>
      <c r="EK190" s="1279"/>
      <c r="EL190" s="1279"/>
      <c r="EM190" s="1279"/>
      <c r="EN190" s="1279"/>
      <c r="EO190" s="1279"/>
    </row>
    <row r="191" spans="1:145" s="1339" customFormat="1" ht="24.75">
      <c r="A191" s="1057" t="s">
        <v>124</v>
      </c>
      <c r="B191" s="1057"/>
      <c r="C191" s="656"/>
      <c r="D191" s="656"/>
      <c r="E191" s="1050"/>
      <c r="F191" s="1050"/>
      <c r="G191" s="1051"/>
      <c r="H191" s="1051"/>
      <c r="I191" s="1051"/>
      <c r="J191" s="1051"/>
      <c r="K191" s="1326">
        <f>K143+K160+K173+K179</f>
        <v>45541331</v>
      </c>
      <c r="L191" s="1327"/>
      <c r="M191" s="1326"/>
      <c r="N191" s="1115"/>
      <c r="O191" s="1326"/>
      <c r="P191" s="1326"/>
      <c r="Q191" s="1326"/>
      <c r="R191" s="1041"/>
      <c r="S191" s="1029"/>
      <c r="T191" s="1029"/>
      <c r="U191" s="1029"/>
      <c r="V191" s="1029"/>
      <c r="W191" s="1029"/>
      <c r="X191" s="1029"/>
      <c r="Y191" s="1029"/>
      <c r="Z191" s="1029"/>
      <c r="AA191" s="1029"/>
      <c r="AB191" s="1029"/>
      <c r="AC191" s="1029"/>
      <c r="AD191" s="1029"/>
      <c r="AE191" s="1029"/>
      <c r="AF191" s="1029"/>
      <c r="AG191" s="1029"/>
      <c r="AH191" s="1029"/>
      <c r="AI191" s="1279"/>
      <c r="AJ191" s="1294"/>
      <c r="AK191" s="1294"/>
      <c r="AL191" s="1295"/>
      <c r="AM191" s="1296"/>
      <c r="AN191" s="1297"/>
      <c r="AO191" s="1279"/>
      <c r="AP191" s="1279"/>
      <c r="AQ191" s="1298"/>
      <c r="AR191" s="1295"/>
      <c r="AS191" s="1296"/>
      <c r="AT191" s="1295"/>
      <c r="AU191" s="1299"/>
      <c r="AV191" s="1279"/>
      <c r="AW191" s="1279"/>
      <c r="AX191" s="1279"/>
      <c r="AY191" s="1279"/>
      <c r="AZ191" s="1279"/>
      <c r="BA191" s="1279"/>
      <c r="BB191" s="1279"/>
      <c r="BC191" s="1279"/>
      <c r="BD191" s="1279"/>
      <c r="BE191" s="1279"/>
      <c r="BF191" s="1279"/>
      <c r="BG191" s="1279"/>
      <c r="BH191" s="1279"/>
      <c r="BI191" s="1279"/>
      <c r="BJ191" s="1279"/>
      <c r="BK191" s="1279"/>
      <c r="BL191" s="1279"/>
      <c r="BM191" s="1279"/>
      <c r="BN191" s="1279"/>
      <c r="BO191" s="1279"/>
      <c r="BP191" s="1279"/>
      <c r="BQ191" s="1279"/>
      <c r="BR191" s="1279"/>
      <c r="BS191" s="1279"/>
      <c r="BT191" s="1279"/>
      <c r="BU191" s="1279"/>
      <c r="BV191" s="1279"/>
      <c r="BW191" s="1279"/>
      <c r="BX191" s="1279"/>
      <c r="BY191" s="1279"/>
      <c r="BZ191" s="1279"/>
      <c r="CA191" s="1279"/>
      <c r="CB191" s="1279"/>
      <c r="CC191" s="1279"/>
      <c r="CD191" s="1279"/>
      <c r="CE191" s="1279"/>
      <c r="CF191" s="1279"/>
      <c r="CG191" s="1279"/>
      <c r="CH191" s="1279"/>
      <c r="CI191" s="1279"/>
      <c r="CJ191" s="1279"/>
      <c r="CK191" s="1279"/>
      <c r="CL191" s="1279"/>
      <c r="CM191" s="1279"/>
      <c r="CN191" s="1279"/>
      <c r="CO191" s="1279"/>
      <c r="CP191" s="1279"/>
      <c r="CQ191" s="1279"/>
      <c r="CR191" s="1279"/>
      <c r="CS191" s="1279"/>
      <c r="CT191" s="1279"/>
      <c r="CU191" s="1279"/>
      <c r="CV191" s="1279"/>
      <c r="CW191" s="1279"/>
      <c r="CX191" s="1279"/>
      <c r="CY191" s="1279"/>
      <c r="CZ191" s="1279"/>
      <c r="DA191" s="1279"/>
      <c r="DB191" s="1279"/>
      <c r="DC191" s="1279"/>
      <c r="DD191" s="1279"/>
      <c r="DE191" s="1279"/>
      <c r="DF191" s="1279"/>
      <c r="DG191" s="1279"/>
      <c r="DH191" s="1279"/>
      <c r="DI191" s="1279"/>
      <c r="DJ191" s="1279"/>
      <c r="DK191" s="1279"/>
      <c r="DL191" s="1279"/>
      <c r="DM191" s="1279"/>
      <c r="DN191" s="1279"/>
      <c r="DO191" s="1279"/>
      <c r="DP191" s="1279"/>
      <c r="DQ191" s="1279"/>
      <c r="DR191" s="1279"/>
      <c r="DS191" s="1279"/>
      <c r="DT191" s="1279"/>
      <c r="DU191" s="1279"/>
      <c r="DV191" s="1279"/>
      <c r="DW191" s="1279"/>
      <c r="DX191" s="1279"/>
      <c r="DY191" s="1279"/>
      <c r="DZ191" s="1279"/>
      <c r="EA191" s="1279"/>
      <c r="EB191" s="1279"/>
      <c r="EC191" s="1279"/>
      <c r="ED191" s="1279"/>
      <c r="EE191" s="1279"/>
      <c r="EF191" s="1279"/>
      <c r="EG191" s="1279"/>
      <c r="EH191" s="1279"/>
      <c r="EI191" s="1279"/>
      <c r="EJ191" s="1279"/>
      <c r="EK191" s="1279"/>
      <c r="EL191" s="1279"/>
      <c r="EM191" s="1279"/>
      <c r="EN191" s="1279"/>
      <c r="EO191" s="1279"/>
    </row>
    <row r="192" spans="1:145" ht="25.5" thickBot="1">
      <c r="A192" s="1057" t="s">
        <v>1909</v>
      </c>
      <c r="B192" s="1026"/>
      <c r="C192" s="656"/>
      <c r="D192" s="656"/>
      <c r="E192" s="1050"/>
      <c r="F192" s="1050"/>
      <c r="G192" s="1051"/>
      <c r="H192" s="1051"/>
      <c r="I192" s="1051"/>
      <c r="J192" s="1051"/>
      <c r="K192" s="1326">
        <f>G55+G138</f>
        <v>16605890.934514284</v>
      </c>
      <c r="L192" s="1147"/>
      <c r="M192" s="1119"/>
      <c r="N192" s="999"/>
      <c r="O192" s="999"/>
      <c r="P192" s="999"/>
      <c r="Q192" s="999"/>
      <c r="R192" s="999"/>
      <c r="S192" s="999"/>
      <c r="T192" s="999"/>
      <c r="U192" s="999"/>
      <c r="V192" s="999"/>
      <c r="W192" s="999"/>
      <c r="X192" s="1268"/>
      <c r="Y192" s="1268"/>
      <c r="Z192" s="1268"/>
      <c r="AA192" s="1268"/>
      <c r="AB192" s="1268"/>
      <c r="AC192" s="1268"/>
      <c r="AD192" s="1268"/>
      <c r="AE192" s="1268"/>
      <c r="AF192" s="1268"/>
      <c r="AG192" s="1268"/>
      <c r="AH192" s="1268"/>
      <c r="AI192" s="1279"/>
      <c r="AJ192" s="1294"/>
      <c r="AK192" s="1294"/>
      <c r="AL192" s="1295"/>
      <c r="AM192" s="1296"/>
      <c r="AN192" s="1297"/>
      <c r="AO192" s="1279"/>
      <c r="AP192" s="1279"/>
      <c r="AQ192" s="1298"/>
      <c r="AR192" s="1295"/>
      <c r="AS192" s="1296"/>
      <c r="AT192" s="1295"/>
      <c r="AU192" s="1299"/>
      <c r="AV192" s="1339"/>
      <c r="AW192" s="1339"/>
      <c r="AX192" s="1339"/>
      <c r="AY192" s="1279"/>
      <c r="AZ192" s="1279"/>
      <c r="BA192" s="1279"/>
      <c r="BB192" s="1279"/>
      <c r="BC192" s="1279"/>
      <c r="BD192" s="1279"/>
      <c r="BE192" s="1279"/>
      <c r="BF192" s="1279"/>
      <c r="BG192" s="1279"/>
      <c r="BH192" s="1279"/>
      <c r="BI192" s="1279"/>
      <c r="BJ192" s="1279"/>
      <c r="BK192" s="1279"/>
      <c r="BL192" s="1279"/>
      <c r="BM192" s="1279"/>
      <c r="BN192" s="1279"/>
      <c r="BO192" s="1279"/>
      <c r="BP192" s="1279"/>
      <c r="BQ192" s="1279"/>
      <c r="BR192" s="1279"/>
      <c r="BS192" s="1279"/>
      <c r="BT192" s="1279"/>
      <c r="BU192" s="1279"/>
      <c r="BV192" s="1279"/>
      <c r="BW192" s="1279"/>
      <c r="BX192" s="1279"/>
      <c r="BY192" s="1279"/>
      <c r="BZ192" s="1279"/>
      <c r="CA192" s="1279"/>
      <c r="CB192" s="1279"/>
      <c r="CC192" s="1279"/>
      <c r="CD192" s="1279"/>
      <c r="CE192" s="1279"/>
      <c r="CF192" s="1279"/>
      <c r="CG192" s="1279"/>
      <c r="CH192" s="1279"/>
      <c r="CI192" s="1279"/>
      <c r="CJ192" s="1279"/>
      <c r="CK192" s="1279"/>
      <c r="CL192" s="1279"/>
      <c r="CM192" s="1279"/>
      <c r="CN192" s="1279"/>
      <c r="CO192" s="1279"/>
      <c r="CP192" s="1279"/>
      <c r="CQ192" s="1279"/>
      <c r="CR192" s="1279"/>
      <c r="CS192" s="1279"/>
      <c r="CT192" s="1279"/>
      <c r="CU192" s="1279"/>
      <c r="CV192" s="1279"/>
      <c r="CW192" s="1279"/>
      <c r="CX192" s="1279"/>
      <c r="CY192" s="1279"/>
      <c r="CZ192" s="1279"/>
      <c r="DA192" s="1279"/>
      <c r="DB192" s="1279"/>
      <c r="DC192" s="1279"/>
      <c r="DD192" s="1279"/>
      <c r="DE192" s="1279"/>
      <c r="DF192" s="1279"/>
      <c r="DG192" s="1279"/>
      <c r="DH192" s="1279"/>
      <c r="DI192" s="1279"/>
      <c r="DJ192" s="1279"/>
      <c r="DK192" s="1279"/>
      <c r="DL192" s="1279"/>
      <c r="DM192" s="1279"/>
      <c r="DN192" s="1279"/>
      <c r="DO192" s="1279"/>
      <c r="DP192" s="1279"/>
      <c r="DQ192" s="1279"/>
      <c r="DR192" s="1279"/>
      <c r="DS192" s="1279"/>
      <c r="DT192" s="1279"/>
      <c r="DU192" s="1279"/>
      <c r="DV192" s="1279"/>
      <c r="DW192" s="1279"/>
      <c r="DX192" s="1279"/>
      <c r="DY192" s="1279"/>
      <c r="DZ192" s="1279"/>
      <c r="EA192" s="1279"/>
      <c r="EB192" s="1279"/>
      <c r="EC192" s="1279"/>
      <c r="ED192" s="1279"/>
      <c r="EE192" s="1279"/>
      <c r="EF192" s="1279"/>
      <c r="EG192" s="1279"/>
      <c r="EH192" s="1279"/>
      <c r="EI192" s="1279"/>
      <c r="EJ192" s="1279"/>
      <c r="EK192" s="1279"/>
      <c r="EL192" s="1279"/>
      <c r="EM192" s="1279"/>
      <c r="EN192" s="1279"/>
      <c r="EO192" s="1279"/>
    </row>
    <row r="193" spans="1:50" s="1279" customFormat="1" ht="25.5" thickBot="1">
      <c r="A193" s="1257" t="s">
        <v>1910</v>
      </c>
      <c r="B193" s="1116"/>
      <c r="C193" s="1117"/>
      <c r="D193" s="1117"/>
      <c r="E193" s="1118"/>
      <c r="F193" s="1118"/>
      <c r="G193" s="1119"/>
      <c r="H193" s="1119"/>
      <c r="I193" s="1119"/>
      <c r="J193" s="1119"/>
      <c r="K193" s="1341">
        <f>K55+K138</f>
        <v>93804882.11058682</v>
      </c>
      <c r="L193" s="1342">
        <v>132584697.19222222</v>
      </c>
      <c r="M193" s="1343" t="e">
        <f>M55+M138</f>
        <v>#REF!</v>
      </c>
      <c r="N193" s="1344"/>
      <c r="O193" s="1345">
        <f>O55+O138+O190</f>
        <v>18332346.279710557</v>
      </c>
      <c r="P193" s="1346">
        <f>P55+P138+P190</f>
        <v>471227617.7582646</v>
      </c>
      <c r="Q193" s="1346">
        <f>Q55+Q138+Q190</f>
        <v>416230578.91913295</v>
      </c>
      <c r="R193" s="1269"/>
      <c r="S193" s="1270"/>
      <c r="T193" s="1270"/>
      <c r="U193" s="1270"/>
      <c r="V193" s="1270"/>
      <c r="W193" s="1270"/>
      <c r="X193" s="1271"/>
      <c r="Y193" s="1271"/>
      <c r="Z193" s="1271"/>
      <c r="AA193" s="1271"/>
      <c r="AB193" s="1271"/>
      <c r="AC193" s="1271"/>
      <c r="AD193" s="1271"/>
      <c r="AE193" s="1271"/>
      <c r="AF193" s="1271"/>
      <c r="AG193" s="1271"/>
      <c r="AH193" s="1271"/>
      <c r="AI193" s="1347"/>
      <c r="AJ193" s="1348"/>
      <c r="AK193" s="1349"/>
      <c r="AL193" s="1350"/>
      <c r="AM193" s="1351"/>
      <c r="AN193" s="1352"/>
      <c r="AO193" s="1347"/>
      <c r="AP193" s="1347"/>
      <c r="AQ193" s="1353"/>
      <c r="AR193" s="1354"/>
      <c r="AS193" s="1355">
        <v>164059762.53166667</v>
      </c>
      <c r="AT193" s="1354">
        <f>SUM(AT6:AT156)</f>
        <v>62092003.74499998</v>
      </c>
      <c r="AU193" s="1356"/>
      <c r="AV193" s="875"/>
      <c r="AW193" s="875"/>
      <c r="AX193" s="875"/>
    </row>
    <row r="194" spans="1:145" s="1339" customFormat="1" ht="24.75">
      <c r="A194" s="1120" t="s">
        <v>125</v>
      </c>
      <c r="B194" s="1120"/>
      <c r="C194" s="1121"/>
      <c r="D194" s="1121"/>
      <c r="E194" s="1122"/>
      <c r="F194" s="1122"/>
      <c r="G194" s="1002"/>
      <c r="H194" s="1002"/>
      <c r="I194" s="1123"/>
      <c r="J194" s="1123"/>
      <c r="K194" s="1343">
        <f>K191+K192+K193</f>
        <v>155952104.0451011</v>
      </c>
      <c r="L194" s="1002"/>
      <c r="M194" s="1002"/>
      <c r="N194" s="1124"/>
      <c r="O194" s="1124"/>
      <c r="P194" s="1099"/>
      <c r="Q194" s="1099"/>
      <c r="R194" s="1099"/>
      <c r="S194" s="1006"/>
      <c r="T194" s="1006"/>
      <c r="U194" s="1006"/>
      <c r="V194" s="1006"/>
      <c r="W194" s="1006"/>
      <c r="X194" s="1008"/>
      <c r="Y194" s="1008"/>
      <c r="Z194" s="1008"/>
      <c r="AA194" s="1008"/>
      <c r="AB194" s="1008"/>
      <c r="AC194" s="1008"/>
      <c r="AD194" s="1008"/>
      <c r="AE194" s="1008"/>
      <c r="AF194" s="1008"/>
      <c r="AG194" s="1008"/>
      <c r="AH194" s="1008"/>
      <c r="AI194" s="875"/>
      <c r="AJ194" s="1253"/>
      <c r="AK194" s="1253"/>
      <c r="AL194" s="1300"/>
      <c r="AM194" s="1300"/>
      <c r="AN194" s="1302"/>
      <c r="AO194" s="875"/>
      <c r="AP194" s="875"/>
      <c r="AQ194" s="1302"/>
      <c r="AR194" s="1357">
        <f>SUM(AR4:AR192)</f>
        <v>166174396.81556246</v>
      </c>
      <c r="AS194" s="1300"/>
      <c r="AT194" s="1300"/>
      <c r="AU194" s="1304"/>
      <c r="AV194" s="875"/>
      <c r="AW194" s="875"/>
      <c r="AX194" s="875"/>
      <c r="AY194" s="1279"/>
      <c r="AZ194" s="1279"/>
      <c r="BA194" s="1279"/>
      <c r="BB194" s="1279"/>
      <c r="BC194" s="1279"/>
      <c r="BD194" s="1279"/>
      <c r="BE194" s="1279"/>
      <c r="BF194" s="1279"/>
      <c r="BG194" s="1279"/>
      <c r="BH194" s="1279"/>
      <c r="BI194" s="1279"/>
      <c r="BJ194" s="1279"/>
      <c r="BK194" s="1279"/>
      <c r="BL194" s="1279"/>
      <c r="BM194" s="1279"/>
      <c r="BN194" s="1279"/>
      <c r="BO194" s="1279"/>
      <c r="BP194" s="1279"/>
      <c r="BQ194" s="1279"/>
      <c r="BR194" s="1279"/>
      <c r="BS194" s="1279"/>
      <c r="BT194" s="1279"/>
      <c r="BU194" s="1279"/>
      <c r="BV194" s="1279"/>
      <c r="BW194" s="1279"/>
      <c r="BX194" s="1279"/>
      <c r="BY194" s="1279"/>
      <c r="BZ194" s="1279"/>
      <c r="CA194" s="1279"/>
      <c r="CB194" s="1279"/>
      <c r="CC194" s="1279"/>
      <c r="CD194" s="1279"/>
      <c r="CE194" s="1279"/>
      <c r="CF194" s="1279"/>
      <c r="CG194" s="1279"/>
      <c r="CH194" s="1279"/>
      <c r="CI194" s="1279"/>
      <c r="CJ194" s="1279"/>
      <c r="CK194" s="1279"/>
      <c r="CL194" s="1279"/>
      <c r="CM194" s="1279"/>
      <c r="CN194" s="1279"/>
      <c r="CO194" s="1279"/>
      <c r="CP194" s="1279"/>
      <c r="CQ194" s="1279"/>
      <c r="CR194" s="1279"/>
      <c r="CS194" s="1279"/>
      <c r="CT194" s="1279"/>
      <c r="CU194" s="1279"/>
      <c r="CV194" s="1279"/>
      <c r="CW194" s="1279"/>
      <c r="CX194" s="1279"/>
      <c r="CY194" s="1279"/>
      <c r="CZ194" s="1279"/>
      <c r="DA194" s="1279"/>
      <c r="DB194" s="1279"/>
      <c r="DC194" s="1279"/>
      <c r="DD194" s="1279"/>
      <c r="DE194" s="1279"/>
      <c r="DF194" s="1279"/>
      <c r="DG194" s="1279"/>
      <c r="DH194" s="1279"/>
      <c r="DI194" s="1279"/>
      <c r="DJ194" s="1279"/>
      <c r="DK194" s="1279"/>
      <c r="DL194" s="1279"/>
      <c r="DM194" s="1279"/>
      <c r="DN194" s="1279"/>
      <c r="DO194" s="1279"/>
      <c r="DP194" s="1279"/>
      <c r="DQ194" s="1279"/>
      <c r="DR194" s="1279"/>
      <c r="DS194" s="1279"/>
      <c r="DT194" s="1279"/>
      <c r="DU194" s="1279"/>
      <c r="DV194" s="1279"/>
      <c r="DW194" s="1279"/>
      <c r="DX194" s="1279"/>
      <c r="DY194" s="1279"/>
      <c r="DZ194" s="1279"/>
      <c r="EA194" s="1279"/>
      <c r="EB194" s="1279"/>
      <c r="EC194" s="1279"/>
      <c r="ED194" s="1279"/>
      <c r="EE194" s="1279"/>
      <c r="EF194" s="1279"/>
      <c r="EG194" s="1279"/>
      <c r="EH194" s="1279"/>
      <c r="EI194" s="1279"/>
      <c r="EJ194" s="1279"/>
      <c r="EK194" s="1279"/>
      <c r="EL194" s="1279"/>
      <c r="EM194" s="1279"/>
      <c r="EN194" s="1279"/>
      <c r="EO194" s="1279"/>
    </row>
    <row r="195" spans="1:145" ht="24.75">
      <c r="A195" s="1120" t="s">
        <v>126</v>
      </c>
      <c r="B195" s="1120"/>
      <c r="C195" s="1099"/>
      <c r="D195" s="1099"/>
      <c r="E195" s="1022" t="s">
        <v>25</v>
      </c>
      <c r="F195" s="1022"/>
      <c r="G195" s="1002"/>
      <c r="H195" s="1002"/>
      <c r="I195" s="1002"/>
      <c r="J195" s="1002"/>
      <c r="K195" s="1002"/>
      <c r="L195" s="1322"/>
      <c r="M195" s="1322"/>
      <c r="N195" s="1358"/>
      <c r="O195" s="1322"/>
      <c r="R195" s="1359"/>
      <c r="S195" s="1359"/>
      <c r="T195" s="1359"/>
      <c r="U195" s="1359"/>
      <c r="V195" s="1359"/>
      <c r="W195" s="1359"/>
      <c r="AC195" s="875"/>
      <c r="AD195" s="875"/>
      <c r="AE195" s="875"/>
      <c r="AF195" s="875"/>
      <c r="AG195" s="875"/>
      <c r="AH195" s="875"/>
      <c r="AY195" s="1279"/>
      <c r="AZ195" s="1279"/>
      <c r="BA195" s="1279"/>
      <c r="BB195" s="1279"/>
      <c r="BC195" s="1279"/>
      <c r="BD195" s="1279"/>
      <c r="BE195" s="1279"/>
      <c r="BF195" s="1279"/>
      <c r="BG195" s="1279"/>
      <c r="BH195" s="1279"/>
      <c r="BI195" s="1279"/>
      <c r="BJ195" s="1279"/>
      <c r="BK195" s="1279"/>
      <c r="BL195" s="1279"/>
      <c r="BM195" s="1279"/>
      <c r="BN195" s="1279"/>
      <c r="BO195" s="1279"/>
      <c r="BP195" s="1279"/>
      <c r="BQ195" s="1279"/>
      <c r="BR195" s="1279"/>
      <c r="BS195" s="1279"/>
      <c r="BT195" s="1279"/>
      <c r="BU195" s="1279"/>
      <c r="BV195" s="1279"/>
      <c r="BW195" s="1279"/>
      <c r="BX195" s="1279"/>
      <c r="BY195" s="1279"/>
      <c r="BZ195" s="1279"/>
      <c r="CA195" s="1279"/>
      <c r="CB195" s="1279"/>
      <c r="CC195" s="1279"/>
      <c r="CD195" s="1279"/>
      <c r="CE195" s="1279"/>
      <c r="CF195" s="1279"/>
      <c r="CG195" s="1279"/>
      <c r="CH195" s="1279"/>
      <c r="CI195" s="1279"/>
      <c r="CJ195" s="1279"/>
      <c r="CK195" s="1279"/>
      <c r="CL195" s="1279"/>
      <c r="CM195" s="1279"/>
      <c r="CN195" s="1279"/>
      <c r="CO195" s="1279"/>
      <c r="CP195" s="1279"/>
      <c r="CQ195" s="1279"/>
      <c r="CR195" s="1279"/>
      <c r="CS195" s="1279"/>
      <c r="CT195" s="1279"/>
      <c r="CU195" s="1279"/>
      <c r="CV195" s="1279"/>
      <c r="CW195" s="1279"/>
      <c r="CX195" s="1279"/>
      <c r="CY195" s="1279"/>
      <c r="CZ195" s="1279"/>
      <c r="DA195" s="1279"/>
      <c r="DB195" s="1279"/>
      <c r="DC195" s="1279"/>
      <c r="DD195" s="1279"/>
      <c r="DE195" s="1279"/>
      <c r="DF195" s="1279"/>
      <c r="DG195" s="1279"/>
      <c r="DH195" s="1279"/>
      <c r="DI195" s="1279"/>
      <c r="DJ195" s="1279"/>
      <c r="DK195" s="1279"/>
      <c r="DL195" s="1279"/>
      <c r="DM195" s="1279"/>
      <c r="DN195" s="1279"/>
      <c r="DO195" s="1279"/>
      <c r="DP195" s="1279"/>
      <c r="DQ195" s="1279"/>
      <c r="DR195" s="1279"/>
      <c r="DS195" s="1279"/>
      <c r="DT195" s="1279"/>
      <c r="DU195" s="1279"/>
      <c r="DV195" s="1279"/>
      <c r="DW195" s="1279"/>
      <c r="DX195" s="1279"/>
      <c r="DY195" s="1279"/>
      <c r="DZ195" s="1279"/>
      <c r="EA195" s="1279"/>
      <c r="EB195" s="1279"/>
      <c r="EC195" s="1279"/>
      <c r="ED195" s="1279"/>
      <c r="EE195" s="1279"/>
      <c r="EF195" s="1279"/>
      <c r="EG195" s="1279"/>
      <c r="EH195" s="1279"/>
      <c r="EI195" s="1279"/>
      <c r="EJ195" s="1279"/>
      <c r="EK195" s="1279"/>
      <c r="EL195" s="1279"/>
      <c r="EM195" s="1279"/>
      <c r="EN195" s="1279"/>
      <c r="EO195" s="1279"/>
    </row>
    <row r="196" spans="1:145" ht="15">
      <c r="A196" s="1360"/>
      <c r="B196" s="1125"/>
      <c r="C196" s="1360"/>
      <c r="D196" s="1360"/>
      <c r="E196" s="1358"/>
      <c r="F196" s="1358"/>
      <c r="G196" s="1126"/>
      <c r="H196" s="1126"/>
      <c r="I196" s="1304"/>
      <c r="J196" s="1304"/>
      <c r="K196" s="1322"/>
      <c r="L196" s="1322"/>
      <c r="M196" s="1322"/>
      <c r="N196" s="1358"/>
      <c r="O196" s="1129"/>
      <c r="R196" s="1359"/>
      <c r="S196" s="1359"/>
      <c r="T196" s="1359"/>
      <c r="U196" s="1359"/>
      <c r="V196" s="1359"/>
      <c r="W196" s="1359"/>
      <c r="AC196" s="875"/>
      <c r="AD196" s="875"/>
      <c r="AE196" s="875"/>
      <c r="AF196" s="875"/>
      <c r="AG196" s="875"/>
      <c r="AH196" s="875"/>
      <c r="AY196" s="1279"/>
      <c r="AZ196" s="1279"/>
      <c r="BA196" s="1279"/>
      <c r="BB196" s="1279"/>
      <c r="BC196" s="1279"/>
      <c r="BD196" s="1279"/>
      <c r="BE196" s="1279"/>
      <c r="BF196" s="1279"/>
      <c r="BG196" s="1279"/>
      <c r="BH196" s="1279"/>
      <c r="BI196" s="1279"/>
      <c r="BJ196" s="1279"/>
      <c r="BK196" s="1279"/>
      <c r="BL196" s="1279"/>
      <c r="BM196" s="1279"/>
      <c r="BN196" s="1279"/>
      <c r="BO196" s="1279"/>
      <c r="BP196" s="1279"/>
      <c r="BQ196" s="1279"/>
      <c r="BR196" s="1279"/>
      <c r="BS196" s="1279"/>
      <c r="BT196" s="1279"/>
      <c r="BU196" s="1279"/>
      <c r="BV196" s="1279"/>
      <c r="BW196" s="1279"/>
      <c r="BX196" s="1279"/>
      <c r="BY196" s="1279"/>
      <c r="BZ196" s="1279"/>
      <c r="CA196" s="1279"/>
      <c r="CB196" s="1279"/>
      <c r="CC196" s="1279"/>
      <c r="CD196" s="1279"/>
      <c r="CE196" s="1279"/>
      <c r="CF196" s="1279"/>
      <c r="CG196" s="1279"/>
      <c r="CH196" s="1279"/>
      <c r="CI196" s="1279"/>
      <c r="CJ196" s="1279"/>
      <c r="CK196" s="1279"/>
      <c r="CL196" s="1279"/>
      <c r="CM196" s="1279"/>
      <c r="CN196" s="1279"/>
      <c r="CO196" s="1279"/>
      <c r="CP196" s="1279"/>
      <c r="CQ196" s="1279"/>
      <c r="CR196" s="1279"/>
      <c r="CS196" s="1279"/>
      <c r="CT196" s="1279"/>
      <c r="CU196" s="1279"/>
      <c r="CV196" s="1279"/>
      <c r="CW196" s="1279"/>
      <c r="CX196" s="1279"/>
      <c r="CY196" s="1279"/>
      <c r="CZ196" s="1279"/>
      <c r="DA196" s="1279"/>
      <c r="DB196" s="1279"/>
      <c r="DC196" s="1279"/>
      <c r="DD196" s="1279"/>
      <c r="DE196" s="1279"/>
      <c r="DF196" s="1279"/>
      <c r="DG196" s="1279"/>
      <c r="DH196" s="1279"/>
      <c r="DI196" s="1279"/>
      <c r="DJ196" s="1279"/>
      <c r="DK196" s="1279"/>
      <c r="DL196" s="1279"/>
      <c r="DM196" s="1279"/>
      <c r="DN196" s="1279"/>
      <c r="DO196" s="1279"/>
      <c r="DP196" s="1279"/>
      <c r="DQ196" s="1279"/>
      <c r="DR196" s="1279"/>
      <c r="DS196" s="1279"/>
      <c r="DT196" s="1279"/>
      <c r="DU196" s="1279"/>
      <c r="DV196" s="1279"/>
      <c r="DW196" s="1279"/>
      <c r="DX196" s="1279"/>
      <c r="DY196" s="1279"/>
      <c r="DZ196" s="1279"/>
      <c r="EA196" s="1279"/>
      <c r="EB196" s="1279"/>
      <c r="EC196" s="1279"/>
      <c r="ED196" s="1279"/>
      <c r="EE196" s="1279"/>
      <c r="EF196" s="1279"/>
      <c r="EG196" s="1279"/>
      <c r="EH196" s="1279"/>
      <c r="EI196" s="1279"/>
      <c r="EJ196" s="1279"/>
      <c r="EK196" s="1279"/>
      <c r="EL196" s="1279"/>
      <c r="EM196" s="1279"/>
      <c r="EN196" s="1279"/>
      <c r="EO196" s="1279"/>
    </row>
    <row r="197" spans="1:145" ht="15">
      <c r="A197" s="1360"/>
      <c r="B197" s="1125"/>
      <c r="C197" s="1360"/>
      <c r="D197" s="1360"/>
      <c r="E197" s="1358"/>
      <c r="F197" s="1358"/>
      <c r="G197" s="1126"/>
      <c r="H197" s="1126"/>
      <c r="I197" s="1304"/>
      <c r="J197" s="1304"/>
      <c r="K197" s="1322"/>
      <c r="L197" s="1322"/>
      <c r="M197" s="1322"/>
      <c r="N197" s="1127"/>
      <c r="O197" s="1128"/>
      <c r="R197" s="1359"/>
      <c r="S197" s="1359"/>
      <c r="T197" s="1359"/>
      <c r="U197" s="1359"/>
      <c r="V197" s="1359"/>
      <c r="W197" s="1359"/>
      <c r="AC197" s="875"/>
      <c r="AD197" s="875"/>
      <c r="AE197" s="875"/>
      <c r="AF197" s="875"/>
      <c r="AG197" s="875"/>
      <c r="AH197" s="875"/>
      <c r="AY197" s="1279"/>
      <c r="AZ197" s="1279"/>
      <c r="BA197" s="1279"/>
      <c r="BB197" s="1279"/>
      <c r="BC197" s="1279"/>
      <c r="BD197" s="1279"/>
      <c r="BE197" s="1279"/>
      <c r="BF197" s="1279"/>
      <c r="BG197" s="1279"/>
      <c r="BH197" s="1279"/>
      <c r="BI197" s="1279"/>
      <c r="BJ197" s="1279"/>
      <c r="BK197" s="1279"/>
      <c r="BL197" s="1279"/>
      <c r="BM197" s="1279"/>
      <c r="BN197" s="1279"/>
      <c r="BO197" s="1279"/>
      <c r="BP197" s="1279"/>
      <c r="BQ197" s="1279"/>
      <c r="BR197" s="1279"/>
      <c r="BS197" s="1279"/>
      <c r="BT197" s="1279"/>
      <c r="BU197" s="1279"/>
      <c r="BV197" s="1279"/>
      <c r="BW197" s="1279"/>
      <c r="BX197" s="1279"/>
      <c r="BY197" s="1279"/>
      <c r="BZ197" s="1279"/>
      <c r="CA197" s="1279"/>
      <c r="CB197" s="1279"/>
      <c r="CC197" s="1279"/>
      <c r="CD197" s="1279"/>
      <c r="CE197" s="1279"/>
      <c r="CF197" s="1279"/>
      <c r="CG197" s="1279"/>
      <c r="CH197" s="1279"/>
      <c r="CI197" s="1279"/>
      <c r="CJ197" s="1279"/>
      <c r="CK197" s="1279"/>
      <c r="CL197" s="1279"/>
      <c r="CM197" s="1279"/>
      <c r="CN197" s="1279"/>
      <c r="CO197" s="1279"/>
      <c r="CP197" s="1279"/>
      <c r="CQ197" s="1279"/>
      <c r="CR197" s="1279"/>
      <c r="CS197" s="1279"/>
      <c r="CT197" s="1279"/>
      <c r="CU197" s="1279"/>
      <c r="CV197" s="1279"/>
      <c r="CW197" s="1279"/>
      <c r="CX197" s="1279"/>
      <c r="CY197" s="1279"/>
      <c r="CZ197" s="1279"/>
      <c r="DA197" s="1279"/>
      <c r="DB197" s="1279"/>
      <c r="DC197" s="1279"/>
      <c r="DD197" s="1279"/>
      <c r="DE197" s="1279"/>
      <c r="DF197" s="1279"/>
      <c r="DG197" s="1279"/>
      <c r="DH197" s="1279"/>
      <c r="DI197" s="1279"/>
      <c r="DJ197" s="1279"/>
      <c r="DK197" s="1279"/>
      <c r="DL197" s="1279"/>
      <c r="DM197" s="1279"/>
      <c r="DN197" s="1279"/>
      <c r="DO197" s="1279"/>
      <c r="DP197" s="1279"/>
      <c r="DQ197" s="1279"/>
      <c r="DR197" s="1279"/>
      <c r="DS197" s="1279"/>
      <c r="DT197" s="1279"/>
      <c r="DU197" s="1279"/>
      <c r="DV197" s="1279"/>
      <c r="DW197" s="1279"/>
      <c r="DX197" s="1279"/>
      <c r="DY197" s="1279"/>
      <c r="DZ197" s="1279"/>
      <c r="EA197" s="1279"/>
      <c r="EB197" s="1279"/>
      <c r="EC197" s="1279"/>
      <c r="ED197" s="1279"/>
      <c r="EE197" s="1279"/>
      <c r="EF197" s="1279"/>
      <c r="EG197" s="1279"/>
      <c r="EH197" s="1279"/>
      <c r="EI197" s="1279"/>
      <c r="EJ197" s="1279"/>
      <c r="EK197" s="1279"/>
      <c r="EL197" s="1279"/>
      <c r="EM197" s="1279"/>
      <c r="EN197" s="1279"/>
      <c r="EO197" s="1279"/>
    </row>
    <row r="198" spans="1:145" ht="15">
      <c r="A198" s="1360"/>
      <c r="B198" s="1125"/>
      <c r="C198" s="1360"/>
      <c r="D198" s="1360"/>
      <c r="E198" s="1358"/>
      <c r="F198" s="1358"/>
      <c r="G198" s="1126"/>
      <c r="H198" s="1126"/>
      <c r="I198" s="1304"/>
      <c r="J198" s="1304"/>
      <c r="K198" s="1322"/>
      <c r="L198" s="1322"/>
      <c r="M198" s="1322"/>
      <c r="N198" s="1358"/>
      <c r="O198" s="1322"/>
      <c r="R198" s="1359"/>
      <c r="S198" s="1359"/>
      <c r="T198" s="1359"/>
      <c r="U198" s="1359"/>
      <c r="V198" s="1359"/>
      <c r="W198" s="1359"/>
      <c r="AC198" s="875"/>
      <c r="AD198" s="875"/>
      <c r="AE198" s="875"/>
      <c r="AF198" s="875"/>
      <c r="AG198" s="875"/>
      <c r="AH198" s="875"/>
      <c r="AY198" s="1279"/>
      <c r="AZ198" s="1279"/>
      <c r="BA198" s="1279"/>
      <c r="BB198" s="1279"/>
      <c r="BC198" s="1279"/>
      <c r="BD198" s="1279"/>
      <c r="BE198" s="1279"/>
      <c r="BF198" s="1279"/>
      <c r="BG198" s="1279"/>
      <c r="BH198" s="1279"/>
      <c r="BI198" s="1279"/>
      <c r="BJ198" s="1279"/>
      <c r="BK198" s="1279"/>
      <c r="BL198" s="1279"/>
      <c r="BM198" s="1279"/>
      <c r="BN198" s="1279"/>
      <c r="BO198" s="1279"/>
      <c r="BP198" s="1279"/>
      <c r="BQ198" s="1279"/>
      <c r="BR198" s="1279"/>
      <c r="BS198" s="1279"/>
      <c r="BT198" s="1279"/>
      <c r="BU198" s="1279"/>
      <c r="BV198" s="1279"/>
      <c r="BW198" s="1279"/>
      <c r="BX198" s="1279"/>
      <c r="BY198" s="1279"/>
      <c r="BZ198" s="1279"/>
      <c r="CA198" s="1279"/>
      <c r="CB198" s="1279"/>
      <c r="CC198" s="1279"/>
      <c r="CD198" s="1279"/>
      <c r="CE198" s="1279"/>
      <c r="CF198" s="1279"/>
      <c r="CG198" s="1279"/>
      <c r="CH198" s="1279"/>
      <c r="CI198" s="1279"/>
      <c r="CJ198" s="1279"/>
      <c r="CK198" s="1279"/>
      <c r="CL198" s="1279"/>
      <c r="CM198" s="1279"/>
      <c r="CN198" s="1279"/>
      <c r="CO198" s="1279"/>
      <c r="CP198" s="1279"/>
      <c r="CQ198" s="1279"/>
      <c r="CR198" s="1279"/>
      <c r="CS198" s="1279"/>
      <c r="CT198" s="1279"/>
      <c r="CU198" s="1279"/>
      <c r="CV198" s="1279"/>
      <c r="CW198" s="1279"/>
      <c r="CX198" s="1279"/>
      <c r="CY198" s="1279"/>
      <c r="CZ198" s="1279"/>
      <c r="DA198" s="1279"/>
      <c r="DB198" s="1279"/>
      <c r="DC198" s="1279"/>
      <c r="DD198" s="1279"/>
      <c r="DE198" s="1279"/>
      <c r="DF198" s="1279"/>
      <c r="DG198" s="1279"/>
      <c r="DH198" s="1279"/>
      <c r="DI198" s="1279"/>
      <c r="DJ198" s="1279"/>
      <c r="DK198" s="1279"/>
      <c r="DL198" s="1279"/>
      <c r="DM198" s="1279"/>
      <c r="DN198" s="1279"/>
      <c r="DO198" s="1279"/>
      <c r="DP198" s="1279"/>
      <c r="DQ198" s="1279"/>
      <c r="DR198" s="1279"/>
      <c r="DS198" s="1279"/>
      <c r="DT198" s="1279"/>
      <c r="DU198" s="1279"/>
      <c r="DV198" s="1279"/>
      <c r="DW198" s="1279"/>
      <c r="DX198" s="1279"/>
      <c r="DY198" s="1279"/>
      <c r="DZ198" s="1279"/>
      <c r="EA198" s="1279"/>
      <c r="EB198" s="1279"/>
      <c r="EC198" s="1279"/>
      <c r="ED198" s="1279"/>
      <c r="EE198" s="1279"/>
      <c r="EF198" s="1279"/>
      <c r="EG198" s="1279"/>
      <c r="EH198" s="1279"/>
      <c r="EI198" s="1279"/>
      <c r="EJ198" s="1279"/>
      <c r="EK198" s="1279"/>
      <c r="EL198" s="1279"/>
      <c r="EM198" s="1279"/>
      <c r="EN198" s="1279"/>
      <c r="EO198" s="1279"/>
    </row>
    <row r="199" spans="1:145" ht="15">
      <c r="A199" s="1360"/>
      <c r="B199" s="1125"/>
      <c r="C199" s="1360"/>
      <c r="D199" s="1360"/>
      <c r="E199" s="1358"/>
      <c r="F199" s="1358"/>
      <c r="G199" s="1126"/>
      <c r="H199" s="1126"/>
      <c r="I199" s="1304"/>
      <c r="J199" s="1304"/>
      <c r="K199" s="1322"/>
      <c r="L199" s="1322"/>
      <c r="M199" s="1322"/>
      <c r="N199" s="1358"/>
      <c r="O199" s="1322"/>
      <c r="R199" s="1359"/>
      <c r="S199" s="1359"/>
      <c r="T199" s="1359"/>
      <c r="U199" s="1359"/>
      <c r="V199" s="1359"/>
      <c r="W199" s="1359"/>
      <c r="AC199" s="875"/>
      <c r="AD199" s="875"/>
      <c r="AE199" s="875"/>
      <c r="AF199" s="875"/>
      <c r="AG199" s="875"/>
      <c r="AH199" s="875"/>
      <c r="AY199" s="1279"/>
      <c r="AZ199" s="1279"/>
      <c r="BA199" s="1279"/>
      <c r="BB199" s="1279"/>
      <c r="BC199" s="1279"/>
      <c r="BD199" s="1279"/>
      <c r="BE199" s="1279"/>
      <c r="BF199" s="1279"/>
      <c r="BG199" s="1279"/>
      <c r="BH199" s="1279"/>
      <c r="BI199" s="1279"/>
      <c r="BJ199" s="1279"/>
      <c r="BK199" s="1279"/>
      <c r="BL199" s="1279"/>
      <c r="BM199" s="1279"/>
      <c r="BN199" s="1279"/>
      <c r="BO199" s="1279"/>
      <c r="BP199" s="1279"/>
      <c r="BQ199" s="1279"/>
      <c r="BR199" s="1279"/>
      <c r="BS199" s="1279"/>
      <c r="BT199" s="1279"/>
      <c r="BU199" s="1279"/>
      <c r="BV199" s="1279"/>
      <c r="BW199" s="1279"/>
      <c r="BX199" s="1279"/>
      <c r="BY199" s="1279"/>
      <c r="BZ199" s="1279"/>
      <c r="CA199" s="1279"/>
      <c r="CB199" s="1279"/>
      <c r="CC199" s="1279"/>
      <c r="CD199" s="1279"/>
      <c r="CE199" s="1279"/>
      <c r="CF199" s="1279"/>
      <c r="CG199" s="1279"/>
      <c r="CH199" s="1279"/>
      <c r="CI199" s="1279"/>
      <c r="CJ199" s="1279"/>
      <c r="CK199" s="1279"/>
      <c r="CL199" s="1279"/>
      <c r="CM199" s="1279"/>
      <c r="CN199" s="1279"/>
      <c r="CO199" s="1279"/>
      <c r="CP199" s="1279"/>
      <c r="CQ199" s="1279"/>
      <c r="CR199" s="1279"/>
      <c r="CS199" s="1279"/>
      <c r="CT199" s="1279"/>
      <c r="CU199" s="1279"/>
      <c r="CV199" s="1279"/>
      <c r="CW199" s="1279"/>
      <c r="CX199" s="1279"/>
      <c r="CY199" s="1279"/>
      <c r="CZ199" s="1279"/>
      <c r="DA199" s="1279"/>
      <c r="DB199" s="1279"/>
      <c r="DC199" s="1279"/>
      <c r="DD199" s="1279"/>
      <c r="DE199" s="1279"/>
      <c r="DF199" s="1279"/>
      <c r="DG199" s="1279"/>
      <c r="DH199" s="1279"/>
      <c r="DI199" s="1279"/>
      <c r="DJ199" s="1279"/>
      <c r="DK199" s="1279"/>
      <c r="DL199" s="1279"/>
      <c r="DM199" s="1279"/>
      <c r="DN199" s="1279"/>
      <c r="DO199" s="1279"/>
      <c r="DP199" s="1279"/>
      <c r="DQ199" s="1279"/>
      <c r="DR199" s="1279"/>
      <c r="DS199" s="1279"/>
      <c r="DT199" s="1279"/>
      <c r="DU199" s="1279"/>
      <c r="DV199" s="1279"/>
      <c r="DW199" s="1279"/>
      <c r="DX199" s="1279"/>
      <c r="DY199" s="1279"/>
      <c r="DZ199" s="1279"/>
      <c r="EA199" s="1279"/>
      <c r="EB199" s="1279"/>
      <c r="EC199" s="1279"/>
      <c r="ED199" s="1279"/>
      <c r="EE199" s="1279"/>
      <c r="EF199" s="1279"/>
      <c r="EG199" s="1279"/>
      <c r="EH199" s="1279"/>
      <c r="EI199" s="1279"/>
      <c r="EJ199" s="1279"/>
      <c r="EK199" s="1279"/>
      <c r="EL199" s="1279"/>
      <c r="EM199" s="1279"/>
      <c r="EN199" s="1279"/>
      <c r="EO199" s="1279"/>
    </row>
    <row r="200" spans="1:145" ht="15">
      <c r="A200" s="1360"/>
      <c r="B200" s="1125"/>
      <c r="C200" s="1360"/>
      <c r="D200" s="1360"/>
      <c r="E200" s="1358"/>
      <c r="F200" s="1358"/>
      <c r="G200" s="1126"/>
      <c r="H200" s="1126"/>
      <c r="I200" s="1304"/>
      <c r="J200" s="1304"/>
      <c r="K200" s="1322"/>
      <c r="L200" s="1322"/>
      <c r="M200" s="1322"/>
      <c r="N200" s="1358"/>
      <c r="O200" s="1129"/>
      <c r="R200" s="1359"/>
      <c r="S200" s="1359"/>
      <c r="T200" s="1359"/>
      <c r="U200" s="1359"/>
      <c r="V200" s="1359"/>
      <c r="W200" s="1359"/>
      <c r="AC200" s="875"/>
      <c r="AD200" s="875"/>
      <c r="AE200" s="875"/>
      <c r="AF200" s="875"/>
      <c r="AG200" s="875"/>
      <c r="AH200" s="875"/>
      <c r="AY200" s="1279"/>
      <c r="AZ200" s="1279"/>
      <c r="BA200" s="1279"/>
      <c r="BB200" s="1279"/>
      <c r="BC200" s="1279"/>
      <c r="BD200" s="1279"/>
      <c r="BE200" s="1279"/>
      <c r="BF200" s="1279"/>
      <c r="BG200" s="1279"/>
      <c r="BH200" s="1279"/>
      <c r="BI200" s="1279"/>
      <c r="BJ200" s="1279"/>
      <c r="BK200" s="1279"/>
      <c r="BL200" s="1279"/>
      <c r="BM200" s="1279"/>
      <c r="BN200" s="1279"/>
      <c r="BO200" s="1279"/>
      <c r="BP200" s="1279"/>
      <c r="BQ200" s="1279"/>
      <c r="BR200" s="1279"/>
      <c r="BS200" s="1279"/>
      <c r="BT200" s="1279"/>
      <c r="BU200" s="1279"/>
      <c r="BV200" s="1279"/>
      <c r="BW200" s="1279"/>
      <c r="BX200" s="1279"/>
      <c r="BY200" s="1279"/>
      <c r="BZ200" s="1279"/>
      <c r="CA200" s="1279"/>
      <c r="CB200" s="1279"/>
      <c r="CC200" s="1279"/>
      <c r="CD200" s="1279"/>
      <c r="CE200" s="1279"/>
      <c r="CF200" s="1279"/>
      <c r="CG200" s="1279"/>
      <c r="CH200" s="1279"/>
      <c r="CI200" s="1279"/>
      <c r="CJ200" s="1279"/>
      <c r="CK200" s="1279"/>
      <c r="CL200" s="1279"/>
      <c r="CM200" s="1279"/>
      <c r="CN200" s="1279"/>
      <c r="CO200" s="1279"/>
      <c r="CP200" s="1279"/>
      <c r="CQ200" s="1279"/>
      <c r="CR200" s="1279"/>
      <c r="CS200" s="1279"/>
      <c r="CT200" s="1279"/>
      <c r="CU200" s="1279"/>
      <c r="CV200" s="1279"/>
      <c r="CW200" s="1279"/>
      <c r="CX200" s="1279"/>
      <c r="CY200" s="1279"/>
      <c r="CZ200" s="1279"/>
      <c r="DA200" s="1279"/>
      <c r="DB200" s="1279"/>
      <c r="DC200" s="1279"/>
      <c r="DD200" s="1279"/>
      <c r="DE200" s="1279"/>
      <c r="DF200" s="1279"/>
      <c r="DG200" s="1279"/>
      <c r="DH200" s="1279"/>
      <c r="DI200" s="1279"/>
      <c r="DJ200" s="1279"/>
      <c r="DK200" s="1279"/>
      <c r="DL200" s="1279"/>
      <c r="DM200" s="1279"/>
      <c r="DN200" s="1279"/>
      <c r="DO200" s="1279"/>
      <c r="DP200" s="1279"/>
      <c r="DQ200" s="1279"/>
      <c r="DR200" s="1279"/>
      <c r="DS200" s="1279"/>
      <c r="DT200" s="1279"/>
      <c r="DU200" s="1279"/>
      <c r="DV200" s="1279"/>
      <c r="DW200" s="1279"/>
      <c r="DX200" s="1279"/>
      <c r="DY200" s="1279"/>
      <c r="DZ200" s="1279"/>
      <c r="EA200" s="1279"/>
      <c r="EB200" s="1279"/>
      <c r="EC200" s="1279"/>
      <c r="ED200" s="1279"/>
      <c r="EE200" s="1279"/>
      <c r="EF200" s="1279"/>
      <c r="EG200" s="1279"/>
      <c r="EH200" s="1279"/>
      <c r="EI200" s="1279"/>
      <c r="EJ200" s="1279"/>
      <c r="EK200" s="1279"/>
      <c r="EL200" s="1279"/>
      <c r="EM200" s="1279"/>
      <c r="EN200" s="1279"/>
      <c r="EO200" s="1279"/>
    </row>
    <row r="201" spans="1:145" ht="15">
      <c r="A201" s="1360"/>
      <c r="B201" s="1125"/>
      <c r="C201" s="1360"/>
      <c r="D201" s="1360"/>
      <c r="E201" s="1358"/>
      <c r="F201" s="1358"/>
      <c r="G201" s="1126"/>
      <c r="H201" s="1126"/>
      <c r="I201" s="1304"/>
      <c r="J201" s="1304"/>
      <c r="K201" s="1322"/>
      <c r="L201" s="1361"/>
      <c r="M201" s="1361"/>
      <c r="N201" s="1127"/>
      <c r="O201" s="1128"/>
      <c r="R201" s="1359"/>
      <c r="S201" s="1359"/>
      <c r="T201" s="1359"/>
      <c r="U201" s="1359"/>
      <c r="V201" s="1359"/>
      <c r="W201" s="1359"/>
      <c r="AC201" s="875"/>
      <c r="AD201" s="875"/>
      <c r="AE201" s="875"/>
      <c r="AF201" s="875"/>
      <c r="AG201" s="875"/>
      <c r="AH201" s="875"/>
      <c r="AY201" s="1279"/>
      <c r="AZ201" s="1279"/>
      <c r="BA201" s="1279"/>
      <c r="BB201" s="1279"/>
      <c r="BC201" s="1279"/>
      <c r="BD201" s="1279"/>
      <c r="BE201" s="1279"/>
      <c r="BF201" s="1279"/>
      <c r="BG201" s="1279"/>
      <c r="BH201" s="1279"/>
      <c r="BI201" s="1279"/>
      <c r="BJ201" s="1279"/>
      <c r="BK201" s="1279"/>
      <c r="BL201" s="1279"/>
      <c r="BM201" s="1279"/>
      <c r="BN201" s="1279"/>
      <c r="BO201" s="1279"/>
      <c r="BP201" s="1279"/>
      <c r="BQ201" s="1279"/>
      <c r="BR201" s="1279"/>
      <c r="BS201" s="1279"/>
      <c r="BT201" s="1279"/>
      <c r="BU201" s="1279"/>
      <c r="BV201" s="1279"/>
      <c r="BW201" s="1279"/>
      <c r="BX201" s="1279"/>
      <c r="BY201" s="1279"/>
      <c r="BZ201" s="1279"/>
      <c r="CA201" s="1279"/>
      <c r="CB201" s="1279"/>
      <c r="CC201" s="1279"/>
      <c r="CD201" s="1279"/>
      <c r="CE201" s="1279"/>
      <c r="CF201" s="1279"/>
      <c r="CG201" s="1279"/>
      <c r="CH201" s="1279"/>
      <c r="CI201" s="1279"/>
      <c r="CJ201" s="1279"/>
      <c r="CK201" s="1279"/>
      <c r="CL201" s="1279"/>
      <c r="CM201" s="1279"/>
      <c r="CN201" s="1279"/>
      <c r="CO201" s="1279"/>
      <c r="CP201" s="1279"/>
      <c r="CQ201" s="1279"/>
      <c r="CR201" s="1279"/>
      <c r="CS201" s="1279"/>
      <c r="CT201" s="1279"/>
      <c r="CU201" s="1279"/>
      <c r="CV201" s="1279"/>
      <c r="CW201" s="1279"/>
      <c r="CX201" s="1279"/>
      <c r="CY201" s="1279"/>
      <c r="CZ201" s="1279"/>
      <c r="DA201" s="1279"/>
      <c r="DB201" s="1279"/>
      <c r="DC201" s="1279"/>
      <c r="DD201" s="1279"/>
      <c r="DE201" s="1279"/>
      <c r="DF201" s="1279"/>
      <c r="DG201" s="1279"/>
      <c r="DH201" s="1279"/>
      <c r="DI201" s="1279"/>
      <c r="DJ201" s="1279"/>
      <c r="DK201" s="1279"/>
      <c r="DL201" s="1279"/>
      <c r="DM201" s="1279"/>
      <c r="DN201" s="1279"/>
      <c r="DO201" s="1279"/>
      <c r="DP201" s="1279"/>
      <c r="DQ201" s="1279"/>
      <c r="DR201" s="1279"/>
      <c r="DS201" s="1279"/>
      <c r="DT201" s="1279"/>
      <c r="DU201" s="1279"/>
      <c r="DV201" s="1279"/>
      <c r="DW201" s="1279"/>
      <c r="DX201" s="1279"/>
      <c r="DY201" s="1279"/>
      <c r="DZ201" s="1279"/>
      <c r="EA201" s="1279"/>
      <c r="EB201" s="1279"/>
      <c r="EC201" s="1279"/>
      <c r="ED201" s="1279"/>
      <c r="EE201" s="1279"/>
      <c r="EF201" s="1279"/>
      <c r="EG201" s="1279"/>
      <c r="EH201" s="1279"/>
      <c r="EI201" s="1279"/>
      <c r="EJ201" s="1279"/>
      <c r="EK201" s="1279"/>
      <c r="EL201" s="1279"/>
      <c r="EM201" s="1279"/>
      <c r="EN201" s="1279"/>
      <c r="EO201" s="1279"/>
    </row>
    <row r="202" spans="1:145" ht="15">
      <c r="A202" s="1360"/>
      <c r="B202" s="1125"/>
      <c r="C202" s="1360"/>
      <c r="D202" s="1360"/>
      <c r="E202" s="1362"/>
      <c r="F202" s="1362"/>
      <c r="G202" s="1126"/>
      <c r="H202" s="1126"/>
      <c r="I202" s="1304"/>
      <c r="J202" s="1304"/>
      <c r="K202" s="1361"/>
      <c r="L202" s="1322"/>
      <c r="M202" s="1322"/>
      <c r="N202" s="1322"/>
      <c r="O202" s="1322"/>
      <c r="R202" s="1359"/>
      <c r="S202" s="1359"/>
      <c r="T202" s="1359"/>
      <c r="U202" s="1359"/>
      <c r="V202" s="1359"/>
      <c r="W202" s="1359"/>
      <c r="AC202" s="875"/>
      <c r="AD202" s="875"/>
      <c r="AE202" s="875"/>
      <c r="AF202" s="875"/>
      <c r="AG202" s="875"/>
      <c r="AH202" s="875"/>
      <c r="AY202" s="1279"/>
      <c r="AZ202" s="1279"/>
      <c r="BA202" s="1279"/>
      <c r="BB202" s="1279"/>
      <c r="BC202" s="1279"/>
      <c r="BD202" s="1279"/>
      <c r="BE202" s="1279"/>
      <c r="BF202" s="1279"/>
      <c r="BG202" s="1279"/>
      <c r="BH202" s="1279"/>
      <c r="BI202" s="1279"/>
      <c r="BJ202" s="1279"/>
      <c r="BK202" s="1279"/>
      <c r="BL202" s="1279"/>
      <c r="BM202" s="1279"/>
      <c r="BN202" s="1279"/>
      <c r="BO202" s="1279"/>
      <c r="BP202" s="1279"/>
      <c r="BQ202" s="1279"/>
      <c r="BR202" s="1279"/>
      <c r="BS202" s="1279"/>
      <c r="BT202" s="1279"/>
      <c r="BU202" s="1279"/>
      <c r="BV202" s="1279"/>
      <c r="BW202" s="1279"/>
      <c r="BX202" s="1279"/>
      <c r="BY202" s="1279"/>
      <c r="BZ202" s="1279"/>
      <c r="CA202" s="1279"/>
      <c r="CB202" s="1279"/>
      <c r="CC202" s="1279"/>
      <c r="CD202" s="1279"/>
      <c r="CE202" s="1279"/>
      <c r="CF202" s="1279"/>
      <c r="CG202" s="1279"/>
      <c r="CH202" s="1279"/>
      <c r="CI202" s="1279"/>
      <c r="CJ202" s="1279"/>
      <c r="CK202" s="1279"/>
      <c r="CL202" s="1279"/>
      <c r="CM202" s="1279"/>
      <c r="CN202" s="1279"/>
      <c r="CO202" s="1279"/>
      <c r="CP202" s="1279"/>
      <c r="CQ202" s="1279"/>
      <c r="CR202" s="1279"/>
      <c r="CS202" s="1279"/>
      <c r="CT202" s="1279"/>
      <c r="CU202" s="1279"/>
      <c r="CV202" s="1279"/>
      <c r="CW202" s="1279"/>
      <c r="CX202" s="1279"/>
      <c r="CY202" s="1279"/>
      <c r="CZ202" s="1279"/>
      <c r="DA202" s="1279"/>
      <c r="DB202" s="1279"/>
      <c r="DC202" s="1279"/>
      <c r="DD202" s="1279"/>
      <c r="DE202" s="1279"/>
      <c r="DF202" s="1279"/>
      <c r="DG202" s="1279"/>
      <c r="DH202" s="1279"/>
      <c r="DI202" s="1279"/>
      <c r="DJ202" s="1279"/>
      <c r="DK202" s="1279"/>
      <c r="DL202" s="1279"/>
      <c r="DM202" s="1279"/>
      <c r="DN202" s="1279"/>
      <c r="DO202" s="1279"/>
      <c r="DP202" s="1279"/>
      <c r="DQ202" s="1279"/>
      <c r="DR202" s="1279"/>
      <c r="DS202" s="1279"/>
      <c r="DT202" s="1279"/>
      <c r="DU202" s="1279"/>
      <c r="DV202" s="1279"/>
      <c r="DW202" s="1279"/>
      <c r="DX202" s="1279"/>
      <c r="DY202" s="1279"/>
      <c r="DZ202" s="1279"/>
      <c r="EA202" s="1279"/>
      <c r="EB202" s="1279"/>
      <c r="EC202" s="1279"/>
      <c r="ED202" s="1279"/>
      <c r="EE202" s="1279"/>
      <c r="EF202" s="1279"/>
      <c r="EG202" s="1279"/>
      <c r="EH202" s="1279"/>
      <c r="EI202" s="1279"/>
      <c r="EJ202" s="1279"/>
      <c r="EK202" s="1279"/>
      <c r="EL202" s="1279"/>
      <c r="EM202" s="1279"/>
      <c r="EN202" s="1279"/>
      <c r="EO202" s="1279"/>
    </row>
    <row r="203" spans="1:145" ht="15">
      <c r="A203" s="1360"/>
      <c r="B203" s="1125"/>
      <c r="C203" s="1360"/>
      <c r="D203" s="1360"/>
      <c r="E203" s="1358"/>
      <c r="F203" s="1358"/>
      <c r="G203" s="1126"/>
      <c r="H203" s="1126"/>
      <c r="I203" s="1304"/>
      <c r="J203" s="1304"/>
      <c r="K203" s="1322"/>
      <c r="L203" s="1322"/>
      <c r="M203" s="1322"/>
      <c r="N203" s="1358"/>
      <c r="O203" s="1322"/>
      <c r="R203" s="1359"/>
      <c r="S203" s="1359"/>
      <c r="T203" s="1359"/>
      <c r="U203" s="1359"/>
      <c r="V203" s="1359"/>
      <c r="W203" s="1359"/>
      <c r="AC203" s="875"/>
      <c r="AD203" s="875"/>
      <c r="AE203" s="875"/>
      <c r="AF203" s="875"/>
      <c r="AG203" s="875"/>
      <c r="AH203" s="875"/>
      <c r="AY203" s="1279"/>
      <c r="AZ203" s="1279"/>
      <c r="BA203" s="1279"/>
      <c r="BB203" s="1279"/>
      <c r="BC203" s="1279"/>
      <c r="BD203" s="1279"/>
      <c r="BE203" s="1279"/>
      <c r="BF203" s="1279"/>
      <c r="BG203" s="1279"/>
      <c r="BH203" s="1279"/>
      <c r="BI203" s="1279"/>
      <c r="BJ203" s="1279"/>
      <c r="BK203" s="1279"/>
      <c r="BL203" s="1279"/>
      <c r="BM203" s="1279"/>
      <c r="BN203" s="1279"/>
      <c r="BO203" s="1279"/>
      <c r="BP203" s="1279"/>
      <c r="BQ203" s="1279"/>
      <c r="BR203" s="1279"/>
      <c r="BS203" s="1279"/>
      <c r="BT203" s="1279"/>
      <c r="BU203" s="1279"/>
      <c r="BV203" s="1279"/>
      <c r="BW203" s="1279"/>
      <c r="BX203" s="1279"/>
      <c r="BY203" s="1279"/>
      <c r="BZ203" s="1279"/>
      <c r="CA203" s="1279"/>
      <c r="CB203" s="1279"/>
      <c r="CC203" s="1279"/>
      <c r="CD203" s="1279"/>
      <c r="CE203" s="1279"/>
      <c r="CF203" s="1279"/>
      <c r="CG203" s="1279"/>
      <c r="CH203" s="1279"/>
      <c r="CI203" s="1279"/>
      <c r="CJ203" s="1279"/>
      <c r="CK203" s="1279"/>
      <c r="CL203" s="1279"/>
      <c r="CM203" s="1279"/>
      <c r="CN203" s="1279"/>
      <c r="CO203" s="1279"/>
      <c r="CP203" s="1279"/>
      <c r="CQ203" s="1279"/>
      <c r="CR203" s="1279"/>
      <c r="CS203" s="1279"/>
      <c r="CT203" s="1279"/>
      <c r="CU203" s="1279"/>
      <c r="CV203" s="1279"/>
      <c r="CW203" s="1279"/>
      <c r="CX203" s="1279"/>
      <c r="CY203" s="1279"/>
      <c r="CZ203" s="1279"/>
      <c r="DA203" s="1279"/>
      <c r="DB203" s="1279"/>
      <c r="DC203" s="1279"/>
      <c r="DD203" s="1279"/>
      <c r="DE203" s="1279"/>
      <c r="DF203" s="1279"/>
      <c r="DG203" s="1279"/>
      <c r="DH203" s="1279"/>
      <c r="DI203" s="1279"/>
      <c r="DJ203" s="1279"/>
      <c r="DK203" s="1279"/>
      <c r="DL203" s="1279"/>
      <c r="DM203" s="1279"/>
      <c r="DN203" s="1279"/>
      <c r="DO203" s="1279"/>
      <c r="DP203" s="1279"/>
      <c r="DQ203" s="1279"/>
      <c r="DR203" s="1279"/>
      <c r="DS203" s="1279"/>
      <c r="DT203" s="1279"/>
      <c r="DU203" s="1279"/>
      <c r="DV203" s="1279"/>
      <c r="DW203" s="1279"/>
      <c r="DX203" s="1279"/>
      <c r="DY203" s="1279"/>
      <c r="DZ203" s="1279"/>
      <c r="EA203" s="1279"/>
      <c r="EB203" s="1279"/>
      <c r="EC203" s="1279"/>
      <c r="ED203" s="1279"/>
      <c r="EE203" s="1279"/>
      <c r="EF203" s="1279"/>
      <c r="EG203" s="1279"/>
      <c r="EH203" s="1279"/>
      <c r="EI203" s="1279"/>
      <c r="EJ203" s="1279"/>
      <c r="EK203" s="1279"/>
      <c r="EL203" s="1279"/>
      <c r="EM203" s="1279"/>
      <c r="EN203" s="1279"/>
      <c r="EO203" s="1279"/>
    </row>
    <row r="204" spans="1:145" ht="15">
      <c r="A204" s="1360"/>
      <c r="B204" s="1125"/>
      <c r="C204" s="1360"/>
      <c r="D204" s="1360"/>
      <c r="E204" s="1358"/>
      <c r="F204" s="1358"/>
      <c r="G204" s="1126"/>
      <c r="H204" s="1126"/>
      <c r="I204" s="1304"/>
      <c r="J204" s="1304"/>
      <c r="K204" s="1322"/>
      <c r="L204" s="1322"/>
      <c r="M204" s="1322"/>
      <c r="N204" s="1358"/>
      <c r="O204" s="1322"/>
      <c r="R204" s="1359"/>
      <c r="S204" s="1359"/>
      <c r="T204" s="1359"/>
      <c r="U204" s="1359"/>
      <c r="V204" s="1359"/>
      <c r="W204" s="1359"/>
      <c r="AC204" s="875"/>
      <c r="AD204" s="875"/>
      <c r="AE204" s="875"/>
      <c r="AF204" s="875"/>
      <c r="AG204" s="875"/>
      <c r="AH204" s="875"/>
      <c r="AY204" s="1279"/>
      <c r="AZ204" s="1279"/>
      <c r="BA204" s="1279"/>
      <c r="BB204" s="1279"/>
      <c r="BC204" s="1279"/>
      <c r="BD204" s="1279"/>
      <c r="BE204" s="1279"/>
      <c r="BF204" s="1279"/>
      <c r="BG204" s="1279"/>
      <c r="BH204" s="1279"/>
      <c r="BI204" s="1279"/>
      <c r="BJ204" s="1279"/>
      <c r="BK204" s="1279"/>
      <c r="BL204" s="1279"/>
      <c r="BM204" s="1279"/>
      <c r="BN204" s="1279"/>
      <c r="BO204" s="1279"/>
      <c r="BP204" s="1279"/>
      <c r="BQ204" s="1279"/>
      <c r="BR204" s="1279"/>
      <c r="BS204" s="1279"/>
      <c r="BT204" s="1279"/>
      <c r="BU204" s="1279"/>
      <c r="BV204" s="1279"/>
      <c r="BW204" s="1279"/>
      <c r="BX204" s="1279"/>
      <c r="BY204" s="1279"/>
      <c r="BZ204" s="1279"/>
      <c r="CA204" s="1279"/>
      <c r="CB204" s="1279"/>
      <c r="CC204" s="1279"/>
      <c r="CD204" s="1279"/>
      <c r="CE204" s="1279"/>
      <c r="CF204" s="1279"/>
      <c r="CG204" s="1279"/>
      <c r="CH204" s="1279"/>
      <c r="CI204" s="1279"/>
      <c r="CJ204" s="1279"/>
      <c r="CK204" s="1279"/>
      <c r="CL204" s="1279"/>
      <c r="CM204" s="1279"/>
      <c r="CN204" s="1279"/>
      <c r="CO204" s="1279"/>
      <c r="CP204" s="1279"/>
      <c r="CQ204" s="1279"/>
      <c r="CR204" s="1279"/>
      <c r="CS204" s="1279"/>
      <c r="CT204" s="1279"/>
      <c r="CU204" s="1279"/>
      <c r="CV204" s="1279"/>
      <c r="CW204" s="1279"/>
      <c r="CX204" s="1279"/>
      <c r="CY204" s="1279"/>
      <c r="CZ204" s="1279"/>
      <c r="DA204" s="1279"/>
      <c r="DB204" s="1279"/>
      <c r="DC204" s="1279"/>
      <c r="DD204" s="1279"/>
      <c r="DE204" s="1279"/>
      <c r="DF204" s="1279"/>
      <c r="DG204" s="1279"/>
      <c r="DH204" s="1279"/>
      <c r="DI204" s="1279"/>
      <c r="DJ204" s="1279"/>
      <c r="DK204" s="1279"/>
      <c r="DL204" s="1279"/>
      <c r="DM204" s="1279"/>
      <c r="DN204" s="1279"/>
      <c r="DO204" s="1279"/>
      <c r="DP204" s="1279"/>
      <c r="DQ204" s="1279"/>
      <c r="DR204" s="1279"/>
      <c r="DS204" s="1279"/>
      <c r="DT204" s="1279"/>
      <c r="DU204" s="1279"/>
      <c r="DV204" s="1279"/>
      <c r="DW204" s="1279"/>
      <c r="DX204" s="1279"/>
      <c r="DY204" s="1279"/>
      <c r="DZ204" s="1279"/>
      <c r="EA204" s="1279"/>
      <c r="EB204" s="1279"/>
      <c r="EC204" s="1279"/>
      <c r="ED204" s="1279"/>
      <c r="EE204" s="1279"/>
      <c r="EF204" s="1279"/>
      <c r="EG204" s="1279"/>
      <c r="EH204" s="1279"/>
      <c r="EI204" s="1279"/>
      <c r="EJ204" s="1279"/>
      <c r="EK204" s="1279"/>
      <c r="EL204" s="1279"/>
      <c r="EM204" s="1279"/>
      <c r="EN204" s="1279"/>
      <c r="EO204" s="1279"/>
    </row>
    <row r="205" spans="1:145" ht="15">
      <c r="A205" s="1360"/>
      <c r="B205" s="1125"/>
      <c r="C205" s="1360"/>
      <c r="D205" s="1360"/>
      <c r="E205" s="1358"/>
      <c r="F205" s="1358"/>
      <c r="G205" s="1126"/>
      <c r="H205" s="1126"/>
      <c r="I205" s="1304"/>
      <c r="J205" s="1304"/>
      <c r="K205" s="1322"/>
      <c r="L205" s="1322"/>
      <c r="M205" s="1322"/>
      <c r="N205" s="1358"/>
      <c r="O205" s="1129"/>
      <c r="R205" s="1359"/>
      <c r="S205" s="1359"/>
      <c r="T205" s="1359"/>
      <c r="U205" s="1359"/>
      <c r="V205" s="1359"/>
      <c r="W205" s="1359"/>
      <c r="AC205" s="875"/>
      <c r="AD205" s="875"/>
      <c r="AE205" s="875"/>
      <c r="AF205" s="875"/>
      <c r="AG205" s="875"/>
      <c r="AH205" s="875"/>
      <c r="AY205" s="1279"/>
      <c r="AZ205" s="1279"/>
      <c r="BA205" s="1279"/>
      <c r="BB205" s="1279"/>
      <c r="BC205" s="1279"/>
      <c r="BD205" s="1279"/>
      <c r="BE205" s="1279"/>
      <c r="BF205" s="1279"/>
      <c r="BG205" s="1279"/>
      <c r="BH205" s="1279"/>
      <c r="BI205" s="1279"/>
      <c r="BJ205" s="1279"/>
      <c r="BK205" s="1279"/>
      <c r="BL205" s="1279"/>
      <c r="BM205" s="1279"/>
      <c r="BN205" s="1279"/>
      <c r="BO205" s="1279"/>
      <c r="BP205" s="1279"/>
      <c r="BQ205" s="1279"/>
      <c r="BR205" s="1279"/>
      <c r="BS205" s="1279"/>
      <c r="BT205" s="1279"/>
      <c r="BU205" s="1279"/>
      <c r="BV205" s="1279"/>
      <c r="BW205" s="1279"/>
      <c r="BX205" s="1279"/>
      <c r="BY205" s="1279"/>
      <c r="BZ205" s="1279"/>
      <c r="CA205" s="1279"/>
      <c r="CB205" s="1279"/>
      <c r="CC205" s="1279"/>
      <c r="CD205" s="1279"/>
      <c r="CE205" s="1279"/>
      <c r="CF205" s="1279"/>
      <c r="CG205" s="1279"/>
      <c r="CH205" s="1279"/>
      <c r="CI205" s="1279"/>
      <c r="CJ205" s="1279"/>
      <c r="CK205" s="1279"/>
      <c r="CL205" s="1279"/>
      <c r="CM205" s="1279"/>
      <c r="CN205" s="1279"/>
      <c r="CO205" s="1279"/>
      <c r="CP205" s="1279"/>
      <c r="CQ205" s="1279"/>
      <c r="CR205" s="1279"/>
      <c r="CS205" s="1279"/>
      <c r="CT205" s="1279"/>
      <c r="CU205" s="1279"/>
      <c r="CV205" s="1279"/>
      <c r="CW205" s="1279"/>
      <c r="CX205" s="1279"/>
      <c r="CY205" s="1279"/>
      <c r="CZ205" s="1279"/>
      <c r="DA205" s="1279"/>
      <c r="DB205" s="1279"/>
      <c r="DC205" s="1279"/>
      <c r="DD205" s="1279"/>
      <c r="DE205" s="1279"/>
      <c r="DF205" s="1279"/>
      <c r="DG205" s="1279"/>
      <c r="DH205" s="1279"/>
      <c r="DI205" s="1279"/>
      <c r="DJ205" s="1279"/>
      <c r="DK205" s="1279"/>
      <c r="DL205" s="1279"/>
      <c r="DM205" s="1279"/>
      <c r="DN205" s="1279"/>
      <c r="DO205" s="1279"/>
      <c r="DP205" s="1279"/>
      <c r="DQ205" s="1279"/>
      <c r="DR205" s="1279"/>
      <c r="DS205" s="1279"/>
      <c r="DT205" s="1279"/>
      <c r="DU205" s="1279"/>
      <c r="DV205" s="1279"/>
      <c r="DW205" s="1279"/>
      <c r="DX205" s="1279"/>
      <c r="DY205" s="1279"/>
      <c r="DZ205" s="1279"/>
      <c r="EA205" s="1279"/>
      <c r="EB205" s="1279"/>
      <c r="EC205" s="1279"/>
      <c r="ED205" s="1279"/>
      <c r="EE205" s="1279"/>
      <c r="EF205" s="1279"/>
      <c r="EG205" s="1279"/>
      <c r="EH205" s="1279"/>
      <c r="EI205" s="1279"/>
      <c r="EJ205" s="1279"/>
      <c r="EK205" s="1279"/>
      <c r="EL205" s="1279"/>
      <c r="EM205" s="1279"/>
      <c r="EN205" s="1279"/>
      <c r="EO205" s="1279"/>
    </row>
    <row r="206" spans="1:145" ht="15">
      <c r="A206" s="1360"/>
      <c r="B206" s="1125"/>
      <c r="C206" s="1360"/>
      <c r="D206" s="1360"/>
      <c r="E206" s="1358"/>
      <c r="F206" s="1358"/>
      <c r="G206" s="1126"/>
      <c r="H206" s="1126"/>
      <c r="I206" s="1304"/>
      <c r="J206" s="1304"/>
      <c r="K206" s="1322"/>
      <c r="L206" s="1322"/>
      <c r="M206" s="1322"/>
      <c r="N206" s="1358"/>
      <c r="O206" s="1322"/>
      <c r="R206" s="1359"/>
      <c r="S206" s="1359"/>
      <c r="T206" s="1359"/>
      <c r="U206" s="1359"/>
      <c r="V206" s="1359"/>
      <c r="W206" s="1359"/>
      <c r="AC206" s="875"/>
      <c r="AD206" s="875"/>
      <c r="AE206" s="875"/>
      <c r="AF206" s="875"/>
      <c r="AG206" s="875"/>
      <c r="AH206" s="875"/>
      <c r="AY206" s="1279"/>
      <c r="AZ206" s="1279"/>
      <c r="BA206" s="1279"/>
      <c r="BB206" s="1279"/>
      <c r="BC206" s="1279"/>
      <c r="BD206" s="1279"/>
      <c r="BE206" s="1279"/>
      <c r="BF206" s="1279"/>
      <c r="BG206" s="1279"/>
      <c r="BH206" s="1279"/>
      <c r="BI206" s="1279"/>
      <c r="BJ206" s="1279"/>
      <c r="BK206" s="1279"/>
      <c r="BL206" s="1279"/>
      <c r="BM206" s="1279"/>
      <c r="BN206" s="1279"/>
      <c r="BO206" s="1279"/>
      <c r="BP206" s="1279"/>
      <c r="BQ206" s="1279"/>
      <c r="BR206" s="1279"/>
      <c r="BS206" s="1279"/>
      <c r="BT206" s="1279"/>
      <c r="BU206" s="1279"/>
      <c r="BV206" s="1279"/>
      <c r="BW206" s="1279"/>
      <c r="BX206" s="1279"/>
      <c r="BY206" s="1279"/>
      <c r="BZ206" s="1279"/>
      <c r="CA206" s="1279"/>
      <c r="CB206" s="1279"/>
      <c r="CC206" s="1279"/>
      <c r="CD206" s="1279"/>
      <c r="CE206" s="1279"/>
      <c r="CF206" s="1279"/>
      <c r="CG206" s="1279"/>
      <c r="CH206" s="1279"/>
      <c r="CI206" s="1279"/>
      <c r="CJ206" s="1279"/>
      <c r="CK206" s="1279"/>
      <c r="CL206" s="1279"/>
      <c r="CM206" s="1279"/>
      <c r="CN206" s="1279"/>
      <c r="CO206" s="1279"/>
      <c r="CP206" s="1279"/>
      <c r="CQ206" s="1279"/>
      <c r="CR206" s="1279"/>
      <c r="CS206" s="1279"/>
      <c r="CT206" s="1279"/>
      <c r="CU206" s="1279"/>
      <c r="CV206" s="1279"/>
      <c r="CW206" s="1279"/>
      <c r="CX206" s="1279"/>
      <c r="CY206" s="1279"/>
      <c r="CZ206" s="1279"/>
      <c r="DA206" s="1279"/>
      <c r="DB206" s="1279"/>
      <c r="DC206" s="1279"/>
      <c r="DD206" s="1279"/>
      <c r="DE206" s="1279"/>
      <c r="DF206" s="1279"/>
      <c r="DG206" s="1279"/>
      <c r="DH206" s="1279"/>
      <c r="DI206" s="1279"/>
      <c r="DJ206" s="1279"/>
      <c r="DK206" s="1279"/>
      <c r="DL206" s="1279"/>
      <c r="DM206" s="1279"/>
      <c r="DN206" s="1279"/>
      <c r="DO206" s="1279"/>
      <c r="DP206" s="1279"/>
      <c r="DQ206" s="1279"/>
      <c r="DR206" s="1279"/>
      <c r="DS206" s="1279"/>
      <c r="DT206" s="1279"/>
      <c r="DU206" s="1279"/>
      <c r="DV206" s="1279"/>
      <c r="DW206" s="1279"/>
      <c r="DX206" s="1279"/>
      <c r="DY206" s="1279"/>
      <c r="DZ206" s="1279"/>
      <c r="EA206" s="1279"/>
      <c r="EB206" s="1279"/>
      <c r="EC206" s="1279"/>
      <c r="ED206" s="1279"/>
      <c r="EE206" s="1279"/>
      <c r="EF206" s="1279"/>
      <c r="EG206" s="1279"/>
      <c r="EH206" s="1279"/>
      <c r="EI206" s="1279"/>
      <c r="EJ206" s="1279"/>
      <c r="EK206" s="1279"/>
      <c r="EL206" s="1279"/>
      <c r="EM206" s="1279"/>
      <c r="EN206" s="1279"/>
      <c r="EO206" s="1279"/>
    </row>
    <row r="207" spans="1:145" ht="15">
      <c r="A207" s="1360"/>
      <c r="B207" s="1125"/>
      <c r="C207" s="1360"/>
      <c r="D207" s="1360"/>
      <c r="E207" s="1358"/>
      <c r="F207" s="1358"/>
      <c r="G207" s="1126"/>
      <c r="H207" s="1126"/>
      <c r="I207" s="1304"/>
      <c r="J207" s="1304"/>
      <c r="K207" s="1322"/>
      <c r="L207" s="1322"/>
      <c r="M207" s="1322"/>
      <c r="N207" s="1358"/>
      <c r="O207" s="1322"/>
      <c r="R207" s="1359"/>
      <c r="S207" s="1359"/>
      <c r="T207" s="1359"/>
      <c r="U207" s="1359"/>
      <c r="V207" s="1359"/>
      <c r="W207" s="1359"/>
      <c r="AC207" s="875"/>
      <c r="AD207" s="875"/>
      <c r="AE207" s="875"/>
      <c r="AF207" s="875"/>
      <c r="AG207" s="875"/>
      <c r="AH207" s="875"/>
      <c r="AY207" s="1279"/>
      <c r="AZ207" s="1279"/>
      <c r="BA207" s="1279"/>
      <c r="BB207" s="1279"/>
      <c r="BC207" s="1279"/>
      <c r="BD207" s="1279"/>
      <c r="BE207" s="1279"/>
      <c r="BF207" s="1279"/>
      <c r="BG207" s="1279"/>
      <c r="BH207" s="1279"/>
      <c r="BI207" s="1279"/>
      <c r="BJ207" s="1279"/>
      <c r="BK207" s="1279"/>
      <c r="BL207" s="1279"/>
      <c r="BM207" s="1279"/>
      <c r="BN207" s="1279"/>
      <c r="BO207" s="1279"/>
      <c r="BP207" s="1279"/>
      <c r="BQ207" s="1279"/>
      <c r="BR207" s="1279"/>
      <c r="BS207" s="1279"/>
      <c r="BT207" s="1279"/>
      <c r="BU207" s="1279"/>
      <c r="BV207" s="1279"/>
      <c r="BW207" s="1279"/>
      <c r="BX207" s="1279"/>
      <c r="BY207" s="1279"/>
      <c r="BZ207" s="1279"/>
      <c r="CA207" s="1279"/>
      <c r="CB207" s="1279"/>
      <c r="CC207" s="1279"/>
      <c r="CD207" s="1279"/>
      <c r="CE207" s="1279"/>
      <c r="CF207" s="1279"/>
      <c r="CG207" s="1279"/>
      <c r="CH207" s="1279"/>
      <c r="CI207" s="1279"/>
      <c r="CJ207" s="1279"/>
      <c r="CK207" s="1279"/>
      <c r="CL207" s="1279"/>
      <c r="CM207" s="1279"/>
      <c r="CN207" s="1279"/>
      <c r="CO207" s="1279"/>
      <c r="CP207" s="1279"/>
      <c r="CQ207" s="1279"/>
      <c r="CR207" s="1279"/>
      <c r="CS207" s="1279"/>
      <c r="CT207" s="1279"/>
      <c r="CU207" s="1279"/>
      <c r="CV207" s="1279"/>
      <c r="CW207" s="1279"/>
      <c r="CX207" s="1279"/>
      <c r="CY207" s="1279"/>
      <c r="CZ207" s="1279"/>
      <c r="DA207" s="1279"/>
      <c r="DB207" s="1279"/>
      <c r="DC207" s="1279"/>
      <c r="DD207" s="1279"/>
      <c r="DE207" s="1279"/>
      <c r="DF207" s="1279"/>
      <c r="DG207" s="1279"/>
      <c r="DH207" s="1279"/>
      <c r="DI207" s="1279"/>
      <c r="DJ207" s="1279"/>
      <c r="DK207" s="1279"/>
      <c r="DL207" s="1279"/>
      <c r="DM207" s="1279"/>
      <c r="DN207" s="1279"/>
      <c r="DO207" s="1279"/>
      <c r="DP207" s="1279"/>
      <c r="DQ207" s="1279"/>
      <c r="DR207" s="1279"/>
      <c r="DS207" s="1279"/>
      <c r="DT207" s="1279"/>
      <c r="DU207" s="1279"/>
      <c r="DV207" s="1279"/>
      <c r="DW207" s="1279"/>
      <c r="DX207" s="1279"/>
      <c r="DY207" s="1279"/>
      <c r="DZ207" s="1279"/>
      <c r="EA207" s="1279"/>
      <c r="EB207" s="1279"/>
      <c r="EC207" s="1279"/>
      <c r="ED207" s="1279"/>
      <c r="EE207" s="1279"/>
      <c r="EF207" s="1279"/>
      <c r="EG207" s="1279"/>
      <c r="EH207" s="1279"/>
      <c r="EI207" s="1279"/>
      <c r="EJ207" s="1279"/>
      <c r="EK207" s="1279"/>
      <c r="EL207" s="1279"/>
      <c r="EM207" s="1279"/>
      <c r="EN207" s="1279"/>
      <c r="EO207" s="1279"/>
    </row>
    <row r="208" spans="1:145" ht="15">
      <c r="A208" s="1360"/>
      <c r="B208" s="1125"/>
      <c r="C208" s="1360"/>
      <c r="D208" s="1360"/>
      <c r="E208" s="1358"/>
      <c r="F208" s="1358"/>
      <c r="G208" s="1126"/>
      <c r="H208" s="1126"/>
      <c r="I208" s="1304"/>
      <c r="J208" s="1304"/>
      <c r="K208" s="1322"/>
      <c r="L208" s="1322"/>
      <c r="M208" s="1322"/>
      <c r="N208" s="1358"/>
      <c r="O208" s="1322"/>
      <c r="R208" s="1359"/>
      <c r="S208" s="1359"/>
      <c r="T208" s="1359"/>
      <c r="U208" s="1359"/>
      <c r="V208" s="1359"/>
      <c r="W208" s="1359"/>
      <c r="AC208" s="875"/>
      <c r="AD208" s="875"/>
      <c r="AE208" s="875"/>
      <c r="AF208" s="875"/>
      <c r="AG208" s="875"/>
      <c r="AH208" s="875"/>
      <c r="AY208" s="1279"/>
      <c r="AZ208" s="1279"/>
      <c r="BA208" s="1279"/>
      <c r="BB208" s="1279"/>
      <c r="BC208" s="1279"/>
      <c r="BD208" s="1279"/>
      <c r="BE208" s="1279"/>
      <c r="BF208" s="1279"/>
      <c r="BG208" s="1279"/>
      <c r="BH208" s="1279"/>
      <c r="BI208" s="1279"/>
      <c r="BJ208" s="1279"/>
      <c r="BK208" s="1279"/>
      <c r="BL208" s="1279"/>
      <c r="BM208" s="1279"/>
      <c r="BN208" s="1279"/>
      <c r="BO208" s="1279"/>
      <c r="BP208" s="1279"/>
      <c r="BQ208" s="1279"/>
      <c r="BR208" s="1279"/>
      <c r="BS208" s="1279"/>
      <c r="BT208" s="1279"/>
      <c r="BU208" s="1279"/>
      <c r="BV208" s="1279"/>
      <c r="BW208" s="1279"/>
      <c r="BX208" s="1279"/>
      <c r="BY208" s="1279"/>
      <c r="BZ208" s="1279"/>
      <c r="CA208" s="1279"/>
      <c r="CB208" s="1279"/>
      <c r="CC208" s="1279"/>
      <c r="CD208" s="1279"/>
      <c r="CE208" s="1279"/>
      <c r="CF208" s="1279"/>
      <c r="CG208" s="1279"/>
      <c r="CH208" s="1279"/>
      <c r="CI208" s="1279"/>
      <c r="CJ208" s="1279"/>
      <c r="CK208" s="1279"/>
      <c r="CL208" s="1279"/>
      <c r="CM208" s="1279"/>
      <c r="CN208" s="1279"/>
      <c r="CO208" s="1279"/>
      <c r="CP208" s="1279"/>
      <c r="CQ208" s="1279"/>
      <c r="CR208" s="1279"/>
      <c r="CS208" s="1279"/>
      <c r="CT208" s="1279"/>
      <c r="CU208" s="1279"/>
      <c r="CV208" s="1279"/>
      <c r="CW208" s="1279"/>
      <c r="CX208" s="1279"/>
      <c r="CY208" s="1279"/>
      <c r="CZ208" s="1279"/>
      <c r="DA208" s="1279"/>
      <c r="DB208" s="1279"/>
      <c r="DC208" s="1279"/>
      <c r="DD208" s="1279"/>
      <c r="DE208" s="1279"/>
      <c r="DF208" s="1279"/>
      <c r="DG208" s="1279"/>
      <c r="DH208" s="1279"/>
      <c r="DI208" s="1279"/>
      <c r="DJ208" s="1279"/>
      <c r="DK208" s="1279"/>
      <c r="DL208" s="1279"/>
      <c r="DM208" s="1279"/>
      <c r="DN208" s="1279"/>
      <c r="DO208" s="1279"/>
      <c r="DP208" s="1279"/>
      <c r="DQ208" s="1279"/>
      <c r="DR208" s="1279"/>
      <c r="DS208" s="1279"/>
      <c r="DT208" s="1279"/>
      <c r="DU208" s="1279"/>
      <c r="DV208" s="1279"/>
      <c r="DW208" s="1279"/>
      <c r="DX208" s="1279"/>
      <c r="DY208" s="1279"/>
      <c r="DZ208" s="1279"/>
      <c r="EA208" s="1279"/>
      <c r="EB208" s="1279"/>
      <c r="EC208" s="1279"/>
      <c r="ED208" s="1279"/>
      <c r="EE208" s="1279"/>
      <c r="EF208" s="1279"/>
      <c r="EG208" s="1279"/>
      <c r="EH208" s="1279"/>
      <c r="EI208" s="1279"/>
      <c r="EJ208" s="1279"/>
      <c r="EK208" s="1279"/>
      <c r="EL208" s="1279"/>
      <c r="EM208" s="1279"/>
      <c r="EN208" s="1279"/>
      <c r="EO208" s="1279"/>
    </row>
    <row r="209" spans="1:145" ht="15">
      <c r="A209" s="1360"/>
      <c r="B209" s="1125"/>
      <c r="C209" s="1360"/>
      <c r="D209" s="1360"/>
      <c r="E209" s="1358"/>
      <c r="F209" s="1358"/>
      <c r="G209" s="1126"/>
      <c r="H209" s="1126"/>
      <c r="I209" s="1304"/>
      <c r="J209" s="1304"/>
      <c r="K209" s="1322"/>
      <c r="L209" s="1322"/>
      <c r="M209" s="1322"/>
      <c r="N209" s="1358"/>
      <c r="O209" s="1322"/>
      <c r="R209" s="1359"/>
      <c r="S209" s="1359"/>
      <c r="T209" s="1359"/>
      <c r="U209" s="1359"/>
      <c r="V209" s="1359"/>
      <c r="W209" s="1359"/>
      <c r="AC209" s="875"/>
      <c r="AD209" s="875"/>
      <c r="AE209" s="875"/>
      <c r="AF209" s="875"/>
      <c r="AG209" s="875"/>
      <c r="AH209" s="875"/>
      <c r="AY209" s="1279"/>
      <c r="AZ209" s="1279"/>
      <c r="BA209" s="1279"/>
      <c r="BB209" s="1279"/>
      <c r="BC209" s="1279"/>
      <c r="BD209" s="1279"/>
      <c r="BE209" s="1279"/>
      <c r="BF209" s="1279"/>
      <c r="BG209" s="1279"/>
      <c r="BH209" s="1279"/>
      <c r="BI209" s="1279"/>
      <c r="BJ209" s="1279"/>
      <c r="BK209" s="1279"/>
      <c r="BL209" s="1279"/>
      <c r="BM209" s="1279"/>
      <c r="BN209" s="1279"/>
      <c r="BO209" s="1279"/>
      <c r="BP209" s="1279"/>
      <c r="BQ209" s="1279"/>
      <c r="BR209" s="1279"/>
      <c r="BS209" s="1279"/>
      <c r="BT209" s="1279"/>
      <c r="BU209" s="1279"/>
      <c r="BV209" s="1279"/>
      <c r="BW209" s="1279"/>
      <c r="BX209" s="1279"/>
      <c r="BY209" s="1279"/>
      <c r="BZ209" s="1279"/>
      <c r="CA209" s="1279"/>
      <c r="CB209" s="1279"/>
      <c r="CC209" s="1279"/>
      <c r="CD209" s="1279"/>
      <c r="CE209" s="1279"/>
      <c r="CF209" s="1279"/>
      <c r="CG209" s="1279"/>
      <c r="CH209" s="1279"/>
      <c r="CI209" s="1279"/>
      <c r="CJ209" s="1279"/>
      <c r="CK209" s="1279"/>
      <c r="CL209" s="1279"/>
      <c r="CM209" s="1279"/>
      <c r="CN209" s="1279"/>
      <c r="CO209" s="1279"/>
      <c r="CP209" s="1279"/>
      <c r="CQ209" s="1279"/>
      <c r="CR209" s="1279"/>
      <c r="CS209" s="1279"/>
      <c r="CT209" s="1279"/>
      <c r="CU209" s="1279"/>
      <c r="CV209" s="1279"/>
      <c r="CW209" s="1279"/>
      <c r="CX209" s="1279"/>
      <c r="CY209" s="1279"/>
      <c r="CZ209" s="1279"/>
      <c r="DA209" s="1279"/>
      <c r="DB209" s="1279"/>
      <c r="DC209" s="1279"/>
      <c r="DD209" s="1279"/>
      <c r="DE209" s="1279"/>
      <c r="DF209" s="1279"/>
      <c r="DG209" s="1279"/>
      <c r="DH209" s="1279"/>
      <c r="DI209" s="1279"/>
      <c r="DJ209" s="1279"/>
      <c r="DK209" s="1279"/>
      <c r="DL209" s="1279"/>
      <c r="DM209" s="1279"/>
      <c r="DN209" s="1279"/>
      <c r="DO209" s="1279"/>
      <c r="DP209" s="1279"/>
      <c r="DQ209" s="1279"/>
      <c r="DR209" s="1279"/>
      <c r="DS209" s="1279"/>
      <c r="DT209" s="1279"/>
      <c r="DU209" s="1279"/>
      <c r="DV209" s="1279"/>
      <c r="DW209" s="1279"/>
      <c r="DX209" s="1279"/>
      <c r="DY209" s="1279"/>
      <c r="DZ209" s="1279"/>
      <c r="EA209" s="1279"/>
      <c r="EB209" s="1279"/>
      <c r="EC209" s="1279"/>
      <c r="ED209" s="1279"/>
      <c r="EE209" s="1279"/>
      <c r="EF209" s="1279"/>
      <c r="EG209" s="1279"/>
      <c r="EH209" s="1279"/>
      <c r="EI209" s="1279"/>
      <c r="EJ209" s="1279"/>
      <c r="EK209" s="1279"/>
      <c r="EL209" s="1279"/>
      <c r="EM209" s="1279"/>
      <c r="EN209" s="1279"/>
      <c r="EO209" s="1279"/>
    </row>
    <row r="210" spans="1:145" ht="15">
      <c r="A210" s="1360"/>
      <c r="B210" s="1125"/>
      <c r="C210" s="1360"/>
      <c r="D210" s="1360"/>
      <c r="E210" s="1358"/>
      <c r="F210" s="1358"/>
      <c r="G210" s="1126"/>
      <c r="H210" s="1126"/>
      <c r="I210" s="1304"/>
      <c r="J210" s="1304"/>
      <c r="K210" s="1322"/>
      <c r="L210" s="1322"/>
      <c r="M210" s="1322"/>
      <c r="N210" s="1358"/>
      <c r="O210" s="1322"/>
      <c r="R210" s="1359"/>
      <c r="S210" s="1359"/>
      <c r="T210" s="1359"/>
      <c r="U210" s="1359"/>
      <c r="V210" s="1359"/>
      <c r="W210" s="1359"/>
      <c r="AC210" s="875"/>
      <c r="AD210" s="875"/>
      <c r="AE210" s="875"/>
      <c r="AF210" s="875"/>
      <c r="AG210" s="875"/>
      <c r="AH210" s="875"/>
      <c r="AY210" s="1279"/>
      <c r="AZ210" s="1279"/>
      <c r="BA210" s="1279"/>
      <c r="BB210" s="1279"/>
      <c r="BC210" s="1279"/>
      <c r="BD210" s="1279"/>
      <c r="BE210" s="1279"/>
      <c r="BF210" s="1279"/>
      <c r="BG210" s="1279"/>
      <c r="BH210" s="1279"/>
      <c r="BI210" s="1279"/>
      <c r="BJ210" s="1279"/>
      <c r="BK210" s="1279"/>
      <c r="BL210" s="1279"/>
      <c r="BM210" s="1279"/>
      <c r="BN210" s="1279"/>
      <c r="BO210" s="1279"/>
      <c r="BP210" s="1279"/>
      <c r="BQ210" s="1279"/>
      <c r="BR210" s="1279"/>
      <c r="BS210" s="1279"/>
      <c r="BT210" s="1279"/>
      <c r="BU210" s="1279"/>
      <c r="BV210" s="1279"/>
      <c r="BW210" s="1279"/>
      <c r="BX210" s="1279"/>
      <c r="BY210" s="1279"/>
      <c r="BZ210" s="1279"/>
      <c r="CA210" s="1279"/>
      <c r="CB210" s="1279"/>
      <c r="CC210" s="1279"/>
      <c r="CD210" s="1279"/>
      <c r="CE210" s="1279"/>
      <c r="CF210" s="1279"/>
      <c r="CG210" s="1279"/>
      <c r="CH210" s="1279"/>
      <c r="CI210" s="1279"/>
      <c r="CJ210" s="1279"/>
      <c r="CK210" s="1279"/>
      <c r="CL210" s="1279"/>
      <c r="CM210" s="1279"/>
      <c r="CN210" s="1279"/>
      <c r="CO210" s="1279"/>
      <c r="CP210" s="1279"/>
      <c r="CQ210" s="1279"/>
      <c r="CR210" s="1279"/>
      <c r="CS210" s="1279"/>
      <c r="CT210" s="1279"/>
      <c r="CU210" s="1279"/>
      <c r="CV210" s="1279"/>
      <c r="CW210" s="1279"/>
      <c r="CX210" s="1279"/>
      <c r="CY210" s="1279"/>
      <c r="CZ210" s="1279"/>
      <c r="DA210" s="1279"/>
      <c r="DB210" s="1279"/>
      <c r="DC210" s="1279"/>
      <c r="DD210" s="1279"/>
      <c r="DE210" s="1279"/>
      <c r="DF210" s="1279"/>
      <c r="DG210" s="1279"/>
      <c r="DH210" s="1279"/>
      <c r="DI210" s="1279"/>
      <c r="DJ210" s="1279"/>
      <c r="DK210" s="1279"/>
      <c r="DL210" s="1279"/>
      <c r="DM210" s="1279"/>
      <c r="DN210" s="1279"/>
      <c r="DO210" s="1279"/>
      <c r="DP210" s="1279"/>
      <c r="DQ210" s="1279"/>
      <c r="DR210" s="1279"/>
      <c r="DS210" s="1279"/>
      <c r="DT210" s="1279"/>
      <c r="DU210" s="1279"/>
      <c r="DV210" s="1279"/>
      <c r="DW210" s="1279"/>
      <c r="DX210" s="1279"/>
      <c r="DY210" s="1279"/>
      <c r="DZ210" s="1279"/>
      <c r="EA210" s="1279"/>
      <c r="EB210" s="1279"/>
      <c r="EC210" s="1279"/>
      <c r="ED210" s="1279"/>
      <c r="EE210" s="1279"/>
      <c r="EF210" s="1279"/>
      <c r="EG210" s="1279"/>
      <c r="EH210" s="1279"/>
      <c r="EI210" s="1279"/>
      <c r="EJ210" s="1279"/>
      <c r="EK210" s="1279"/>
      <c r="EL210" s="1279"/>
      <c r="EM210" s="1279"/>
      <c r="EN210" s="1279"/>
      <c r="EO210" s="1279"/>
    </row>
    <row r="211" spans="1:145" ht="15">
      <c r="A211" s="1360"/>
      <c r="B211" s="1125"/>
      <c r="C211" s="1360"/>
      <c r="D211" s="1360"/>
      <c r="E211" s="1358"/>
      <c r="F211" s="1358"/>
      <c r="G211" s="1126"/>
      <c r="H211" s="1126"/>
      <c r="I211" s="1304"/>
      <c r="J211" s="1304"/>
      <c r="K211" s="1322"/>
      <c r="L211" s="1322"/>
      <c r="M211" s="1322"/>
      <c r="N211" s="1358"/>
      <c r="O211" s="1322"/>
      <c r="R211" s="1359"/>
      <c r="S211" s="1359"/>
      <c r="T211" s="1359"/>
      <c r="U211" s="1359"/>
      <c r="V211" s="1359"/>
      <c r="W211" s="1359"/>
      <c r="AC211" s="875"/>
      <c r="AD211" s="875"/>
      <c r="AE211" s="875"/>
      <c r="AF211" s="875"/>
      <c r="AG211" s="875"/>
      <c r="AH211" s="875"/>
      <c r="AY211" s="1279"/>
      <c r="AZ211" s="1279"/>
      <c r="BA211" s="1279"/>
      <c r="BB211" s="1279"/>
      <c r="BC211" s="1279"/>
      <c r="BD211" s="1279"/>
      <c r="BE211" s="1279"/>
      <c r="BF211" s="1279"/>
      <c r="BG211" s="1279"/>
      <c r="BH211" s="1279"/>
      <c r="BI211" s="1279"/>
      <c r="BJ211" s="1279"/>
      <c r="BK211" s="1279"/>
      <c r="BL211" s="1279"/>
      <c r="BM211" s="1279"/>
      <c r="BN211" s="1279"/>
      <c r="BO211" s="1279"/>
      <c r="BP211" s="1279"/>
      <c r="BQ211" s="1279"/>
      <c r="BR211" s="1279"/>
      <c r="BS211" s="1279"/>
      <c r="BT211" s="1279"/>
      <c r="BU211" s="1279"/>
      <c r="BV211" s="1279"/>
      <c r="BW211" s="1279"/>
      <c r="BX211" s="1279"/>
      <c r="BY211" s="1279"/>
      <c r="BZ211" s="1279"/>
      <c r="CA211" s="1279"/>
      <c r="CB211" s="1279"/>
      <c r="CC211" s="1279"/>
      <c r="CD211" s="1279"/>
      <c r="CE211" s="1279"/>
      <c r="CF211" s="1279"/>
      <c r="CG211" s="1279"/>
      <c r="CH211" s="1279"/>
      <c r="CI211" s="1279"/>
      <c r="CJ211" s="1279"/>
      <c r="CK211" s="1279"/>
      <c r="CL211" s="1279"/>
      <c r="CM211" s="1279"/>
      <c r="CN211" s="1279"/>
      <c r="CO211" s="1279"/>
      <c r="CP211" s="1279"/>
      <c r="CQ211" s="1279"/>
      <c r="CR211" s="1279"/>
      <c r="CS211" s="1279"/>
      <c r="CT211" s="1279"/>
      <c r="CU211" s="1279"/>
      <c r="CV211" s="1279"/>
      <c r="CW211" s="1279"/>
      <c r="CX211" s="1279"/>
      <c r="CY211" s="1279"/>
      <c r="CZ211" s="1279"/>
      <c r="DA211" s="1279"/>
      <c r="DB211" s="1279"/>
      <c r="DC211" s="1279"/>
      <c r="DD211" s="1279"/>
      <c r="DE211" s="1279"/>
      <c r="DF211" s="1279"/>
      <c r="DG211" s="1279"/>
      <c r="DH211" s="1279"/>
      <c r="DI211" s="1279"/>
      <c r="DJ211" s="1279"/>
      <c r="DK211" s="1279"/>
      <c r="DL211" s="1279"/>
      <c r="DM211" s="1279"/>
      <c r="DN211" s="1279"/>
      <c r="DO211" s="1279"/>
      <c r="DP211" s="1279"/>
      <c r="DQ211" s="1279"/>
      <c r="DR211" s="1279"/>
      <c r="DS211" s="1279"/>
      <c r="DT211" s="1279"/>
      <c r="DU211" s="1279"/>
      <c r="DV211" s="1279"/>
      <c r="DW211" s="1279"/>
      <c r="DX211" s="1279"/>
      <c r="DY211" s="1279"/>
      <c r="DZ211" s="1279"/>
      <c r="EA211" s="1279"/>
      <c r="EB211" s="1279"/>
      <c r="EC211" s="1279"/>
      <c r="ED211" s="1279"/>
      <c r="EE211" s="1279"/>
      <c r="EF211" s="1279"/>
      <c r="EG211" s="1279"/>
      <c r="EH211" s="1279"/>
      <c r="EI211" s="1279"/>
      <c r="EJ211" s="1279"/>
      <c r="EK211" s="1279"/>
      <c r="EL211" s="1279"/>
      <c r="EM211" s="1279"/>
      <c r="EN211" s="1279"/>
      <c r="EO211" s="1279"/>
    </row>
    <row r="212" spans="1:145" ht="15">
      <c r="A212" s="1360"/>
      <c r="B212" s="1125"/>
      <c r="C212" s="1360"/>
      <c r="D212" s="1360"/>
      <c r="E212" s="1358"/>
      <c r="F212" s="1358"/>
      <c r="G212" s="1126"/>
      <c r="H212" s="1126"/>
      <c r="I212" s="1304"/>
      <c r="J212" s="1304"/>
      <c r="K212" s="1322"/>
      <c r="L212" s="1322"/>
      <c r="M212" s="1322"/>
      <c r="N212" s="1358"/>
      <c r="O212" s="1363"/>
      <c r="R212" s="1359"/>
      <c r="S212" s="1359"/>
      <c r="T212" s="1359"/>
      <c r="U212" s="1359"/>
      <c r="V212" s="1359"/>
      <c r="W212" s="1359"/>
      <c r="AC212" s="875"/>
      <c r="AD212" s="875"/>
      <c r="AE212" s="875"/>
      <c r="AF212" s="875"/>
      <c r="AG212" s="875"/>
      <c r="AH212" s="875"/>
      <c r="AY212" s="1279"/>
      <c r="AZ212" s="1279"/>
      <c r="BA212" s="1279"/>
      <c r="BB212" s="1279"/>
      <c r="BC212" s="1279"/>
      <c r="BD212" s="1279"/>
      <c r="BE212" s="1279"/>
      <c r="BF212" s="1279"/>
      <c r="BG212" s="1279"/>
      <c r="BH212" s="1279"/>
      <c r="BI212" s="1279"/>
      <c r="BJ212" s="1279"/>
      <c r="BK212" s="1279"/>
      <c r="BL212" s="1279"/>
      <c r="BM212" s="1279"/>
      <c r="BN212" s="1279"/>
      <c r="BO212" s="1279"/>
      <c r="BP212" s="1279"/>
      <c r="BQ212" s="1279"/>
      <c r="BR212" s="1279"/>
      <c r="BS212" s="1279"/>
      <c r="BT212" s="1279"/>
      <c r="BU212" s="1279"/>
      <c r="BV212" s="1279"/>
      <c r="BW212" s="1279"/>
      <c r="BX212" s="1279"/>
      <c r="BY212" s="1279"/>
      <c r="BZ212" s="1279"/>
      <c r="CA212" s="1279"/>
      <c r="CB212" s="1279"/>
      <c r="CC212" s="1279"/>
      <c r="CD212" s="1279"/>
      <c r="CE212" s="1279"/>
      <c r="CF212" s="1279"/>
      <c r="CG212" s="1279"/>
      <c r="CH212" s="1279"/>
      <c r="CI212" s="1279"/>
      <c r="CJ212" s="1279"/>
      <c r="CK212" s="1279"/>
      <c r="CL212" s="1279"/>
      <c r="CM212" s="1279"/>
      <c r="CN212" s="1279"/>
      <c r="CO212" s="1279"/>
      <c r="CP212" s="1279"/>
      <c r="CQ212" s="1279"/>
      <c r="CR212" s="1279"/>
      <c r="CS212" s="1279"/>
      <c r="CT212" s="1279"/>
      <c r="CU212" s="1279"/>
      <c r="CV212" s="1279"/>
      <c r="CW212" s="1279"/>
      <c r="CX212" s="1279"/>
      <c r="CY212" s="1279"/>
      <c r="CZ212" s="1279"/>
      <c r="DA212" s="1279"/>
      <c r="DB212" s="1279"/>
      <c r="DC212" s="1279"/>
      <c r="DD212" s="1279"/>
      <c r="DE212" s="1279"/>
      <c r="DF212" s="1279"/>
      <c r="DG212" s="1279"/>
      <c r="DH212" s="1279"/>
      <c r="DI212" s="1279"/>
      <c r="DJ212" s="1279"/>
      <c r="DK212" s="1279"/>
      <c r="DL212" s="1279"/>
      <c r="DM212" s="1279"/>
      <c r="DN212" s="1279"/>
      <c r="DO212" s="1279"/>
      <c r="DP212" s="1279"/>
      <c r="DQ212" s="1279"/>
      <c r="DR212" s="1279"/>
      <c r="DS212" s="1279"/>
      <c r="DT212" s="1279"/>
      <c r="DU212" s="1279"/>
      <c r="DV212" s="1279"/>
      <c r="DW212" s="1279"/>
      <c r="DX212" s="1279"/>
      <c r="DY212" s="1279"/>
      <c r="DZ212" s="1279"/>
      <c r="EA212" s="1279"/>
      <c r="EB212" s="1279"/>
      <c r="EC212" s="1279"/>
      <c r="ED212" s="1279"/>
      <c r="EE212" s="1279"/>
      <c r="EF212" s="1279"/>
      <c r="EG212" s="1279"/>
      <c r="EH212" s="1279"/>
      <c r="EI212" s="1279"/>
      <c r="EJ212" s="1279"/>
      <c r="EK212" s="1279"/>
      <c r="EL212" s="1279"/>
      <c r="EM212" s="1279"/>
      <c r="EN212" s="1279"/>
      <c r="EO212" s="1279"/>
    </row>
    <row r="213" spans="1:145" ht="15">
      <c r="A213" s="1360"/>
      <c r="B213" s="1125"/>
      <c r="C213" s="1360"/>
      <c r="D213" s="1360"/>
      <c r="E213" s="1358"/>
      <c r="F213" s="1358"/>
      <c r="G213" s="1126"/>
      <c r="H213" s="1126"/>
      <c r="I213" s="1304"/>
      <c r="J213" s="1304"/>
      <c r="K213" s="1322"/>
      <c r="L213" s="1322"/>
      <c r="M213" s="1322"/>
      <c r="N213" s="1358"/>
      <c r="O213" s="1363"/>
      <c r="R213" s="1359"/>
      <c r="S213" s="1359"/>
      <c r="T213" s="1359"/>
      <c r="U213" s="1359"/>
      <c r="V213" s="1359"/>
      <c r="W213" s="1359"/>
      <c r="AC213" s="875"/>
      <c r="AD213" s="875"/>
      <c r="AE213" s="875"/>
      <c r="AF213" s="875"/>
      <c r="AG213" s="875"/>
      <c r="AH213" s="875"/>
      <c r="AY213" s="1279"/>
      <c r="AZ213" s="1279"/>
      <c r="BA213" s="1279"/>
      <c r="BB213" s="1279"/>
      <c r="BC213" s="1279"/>
      <c r="BD213" s="1279"/>
      <c r="BE213" s="1279"/>
      <c r="BF213" s="1279"/>
      <c r="BG213" s="1279"/>
      <c r="BH213" s="1279"/>
      <c r="BI213" s="1279"/>
      <c r="BJ213" s="1279"/>
      <c r="BK213" s="1279"/>
      <c r="BL213" s="1279"/>
      <c r="BM213" s="1279"/>
      <c r="BN213" s="1279"/>
      <c r="BO213" s="1279"/>
      <c r="BP213" s="1279"/>
      <c r="BQ213" s="1279"/>
      <c r="BR213" s="1279"/>
      <c r="BS213" s="1279"/>
      <c r="BT213" s="1279"/>
      <c r="BU213" s="1279"/>
      <c r="BV213" s="1279"/>
      <c r="BW213" s="1279"/>
      <c r="BX213" s="1279"/>
      <c r="BY213" s="1279"/>
      <c r="BZ213" s="1279"/>
      <c r="CA213" s="1279"/>
      <c r="CB213" s="1279"/>
      <c r="CC213" s="1279"/>
      <c r="CD213" s="1279"/>
      <c r="CE213" s="1279"/>
      <c r="CF213" s="1279"/>
      <c r="CG213" s="1279"/>
      <c r="CH213" s="1279"/>
      <c r="CI213" s="1279"/>
      <c r="CJ213" s="1279"/>
      <c r="CK213" s="1279"/>
      <c r="CL213" s="1279"/>
      <c r="CM213" s="1279"/>
      <c r="CN213" s="1279"/>
      <c r="CO213" s="1279"/>
      <c r="CP213" s="1279"/>
      <c r="CQ213" s="1279"/>
      <c r="CR213" s="1279"/>
      <c r="CS213" s="1279"/>
      <c r="CT213" s="1279"/>
      <c r="CU213" s="1279"/>
      <c r="CV213" s="1279"/>
      <c r="CW213" s="1279"/>
      <c r="CX213" s="1279"/>
      <c r="CY213" s="1279"/>
      <c r="CZ213" s="1279"/>
      <c r="DA213" s="1279"/>
      <c r="DB213" s="1279"/>
      <c r="DC213" s="1279"/>
      <c r="DD213" s="1279"/>
      <c r="DE213" s="1279"/>
      <c r="DF213" s="1279"/>
      <c r="DG213" s="1279"/>
      <c r="DH213" s="1279"/>
      <c r="DI213" s="1279"/>
      <c r="DJ213" s="1279"/>
      <c r="DK213" s="1279"/>
      <c r="DL213" s="1279"/>
      <c r="DM213" s="1279"/>
      <c r="DN213" s="1279"/>
      <c r="DO213" s="1279"/>
      <c r="DP213" s="1279"/>
      <c r="DQ213" s="1279"/>
      <c r="DR213" s="1279"/>
      <c r="DS213" s="1279"/>
      <c r="DT213" s="1279"/>
      <c r="DU213" s="1279"/>
      <c r="DV213" s="1279"/>
      <c r="DW213" s="1279"/>
      <c r="DX213" s="1279"/>
      <c r="DY213" s="1279"/>
      <c r="DZ213" s="1279"/>
      <c r="EA213" s="1279"/>
      <c r="EB213" s="1279"/>
      <c r="EC213" s="1279"/>
      <c r="ED213" s="1279"/>
      <c r="EE213" s="1279"/>
      <c r="EF213" s="1279"/>
      <c r="EG213" s="1279"/>
      <c r="EH213" s="1279"/>
      <c r="EI213" s="1279"/>
      <c r="EJ213" s="1279"/>
      <c r="EK213" s="1279"/>
      <c r="EL213" s="1279"/>
      <c r="EM213" s="1279"/>
      <c r="EN213" s="1279"/>
      <c r="EO213" s="1279"/>
    </row>
    <row r="214" spans="1:145" ht="15">
      <c r="A214" s="1360"/>
      <c r="B214" s="1125"/>
      <c r="C214" s="1360"/>
      <c r="D214" s="1360"/>
      <c r="E214" s="1358"/>
      <c r="F214" s="1358"/>
      <c r="G214" s="1126"/>
      <c r="H214" s="1126"/>
      <c r="I214" s="1304"/>
      <c r="J214" s="1304"/>
      <c r="K214" s="1322"/>
      <c r="L214" s="1322"/>
      <c r="M214" s="1322"/>
      <c r="N214" s="1358"/>
      <c r="O214" s="1322"/>
      <c r="R214" s="1359"/>
      <c r="S214" s="1359"/>
      <c r="T214" s="1359"/>
      <c r="U214" s="1359"/>
      <c r="V214" s="1359"/>
      <c r="W214" s="1359"/>
      <c r="AC214" s="875"/>
      <c r="AD214" s="875"/>
      <c r="AE214" s="875"/>
      <c r="AF214" s="875"/>
      <c r="AG214" s="875"/>
      <c r="AH214" s="875"/>
      <c r="AY214" s="1279"/>
      <c r="AZ214" s="1279"/>
      <c r="BA214" s="1279"/>
      <c r="BB214" s="1279"/>
      <c r="BC214" s="1279"/>
      <c r="BD214" s="1279"/>
      <c r="BE214" s="1279"/>
      <c r="BF214" s="1279"/>
      <c r="BG214" s="1279"/>
      <c r="BH214" s="1279"/>
      <c r="BI214" s="1279"/>
      <c r="BJ214" s="1279"/>
      <c r="BK214" s="1279"/>
      <c r="BL214" s="1279"/>
      <c r="BM214" s="1279"/>
      <c r="BN214" s="1279"/>
      <c r="BO214" s="1279"/>
      <c r="BP214" s="1279"/>
      <c r="BQ214" s="1279"/>
      <c r="BR214" s="1279"/>
      <c r="BS214" s="1279"/>
      <c r="BT214" s="1279"/>
      <c r="BU214" s="1279"/>
      <c r="BV214" s="1279"/>
      <c r="BW214" s="1279"/>
      <c r="BX214" s="1279"/>
      <c r="BY214" s="1279"/>
      <c r="BZ214" s="1279"/>
      <c r="CA214" s="1279"/>
      <c r="CB214" s="1279"/>
      <c r="CC214" s="1279"/>
      <c r="CD214" s="1279"/>
      <c r="CE214" s="1279"/>
      <c r="CF214" s="1279"/>
      <c r="CG214" s="1279"/>
      <c r="CH214" s="1279"/>
      <c r="CI214" s="1279"/>
      <c r="CJ214" s="1279"/>
      <c r="CK214" s="1279"/>
      <c r="CL214" s="1279"/>
      <c r="CM214" s="1279"/>
      <c r="CN214" s="1279"/>
      <c r="CO214" s="1279"/>
      <c r="CP214" s="1279"/>
      <c r="CQ214" s="1279"/>
      <c r="CR214" s="1279"/>
      <c r="CS214" s="1279"/>
      <c r="CT214" s="1279"/>
      <c r="CU214" s="1279"/>
      <c r="CV214" s="1279"/>
      <c r="CW214" s="1279"/>
      <c r="CX214" s="1279"/>
      <c r="CY214" s="1279"/>
      <c r="CZ214" s="1279"/>
      <c r="DA214" s="1279"/>
      <c r="DB214" s="1279"/>
      <c r="DC214" s="1279"/>
      <c r="DD214" s="1279"/>
      <c r="DE214" s="1279"/>
      <c r="DF214" s="1279"/>
      <c r="DG214" s="1279"/>
      <c r="DH214" s="1279"/>
      <c r="DI214" s="1279"/>
      <c r="DJ214" s="1279"/>
      <c r="DK214" s="1279"/>
      <c r="DL214" s="1279"/>
      <c r="DM214" s="1279"/>
      <c r="DN214" s="1279"/>
      <c r="DO214" s="1279"/>
      <c r="DP214" s="1279"/>
      <c r="DQ214" s="1279"/>
      <c r="DR214" s="1279"/>
      <c r="DS214" s="1279"/>
      <c r="DT214" s="1279"/>
      <c r="DU214" s="1279"/>
      <c r="DV214" s="1279"/>
      <c r="DW214" s="1279"/>
      <c r="DX214" s="1279"/>
      <c r="DY214" s="1279"/>
      <c r="DZ214" s="1279"/>
      <c r="EA214" s="1279"/>
      <c r="EB214" s="1279"/>
      <c r="EC214" s="1279"/>
      <c r="ED214" s="1279"/>
      <c r="EE214" s="1279"/>
      <c r="EF214" s="1279"/>
      <c r="EG214" s="1279"/>
      <c r="EH214" s="1279"/>
      <c r="EI214" s="1279"/>
      <c r="EJ214" s="1279"/>
      <c r="EK214" s="1279"/>
      <c r="EL214" s="1279"/>
      <c r="EM214" s="1279"/>
      <c r="EN214" s="1279"/>
      <c r="EO214" s="1279"/>
    </row>
    <row r="215" spans="1:145" ht="15">
      <c r="A215" s="1360"/>
      <c r="B215" s="1125"/>
      <c r="C215" s="1360"/>
      <c r="D215" s="1360"/>
      <c r="E215" s="1358"/>
      <c r="F215" s="1358"/>
      <c r="G215" s="1126"/>
      <c r="H215" s="1126"/>
      <c r="I215" s="1304"/>
      <c r="J215" s="1304"/>
      <c r="K215" s="1322"/>
      <c r="L215" s="1322"/>
      <c r="M215" s="1322"/>
      <c r="N215" s="1358"/>
      <c r="O215" s="1364"/>
      <c r="R215" s="1359"/>
      <c r="S215" s="1359"/>
      <c r="T215" s="1359"/>
      <c r="U215" s="1359"/>
      <c r="V215" s="1359"/>
      <c r="W215" s="1359"/>
      <c r="AC215" s="875"/>
      <c r="AD215" s="875"/>
      <c r="AE215" s="875"/>
      <c r="AF215" s="875"/>
      <c r="AG215" s="875"/>
      <c r="AH215" s="875"/>
      <c r="AY215" s="1279"/>
      <c r="AZ215" s="1279"/>
      <c r="BA215" s="1279"/>
      <c r="BB215" s="1279"/>
      <c r="BC215" s="1279"/>
      <c r="BD215" s="1279"/>
      <c r="BE215" s="1279"/>
      <c r="BF215" s="1279"/>
      <c r="BG215" s="1279"/>
      <c r="BH215" s="1279"/>
      <c r="BI215" s="1279"/>
      <c r="BJ215" s="1279"/>
      <c r="BK215" s="1279"/>
      <c r="BL215" s="1279"/>
      <c r="BM215" s="1279"/>
      <c r="BN215" s="1279"/>
      <c r="BO215" s="1279"/>
      <c r="BP215" s="1279"/>
      <c r="BQ215" s="1279"/>
      <c r="BR215" s="1279"/>
      <c r="BS215" s="1279"/>
      <c r="BT215" s="1279"/>
      <c r="BU215" s="1279"/>
      <c r="BV215" s="1279"/>
      <c r="BW215" s="1279"/>
      <c r="BX215" s="1279"/>
      <c r="BY215" s="1279"/>
      <c r="BZ215" s="1279"/>
      <c r="CA215" s="1279"/>
      <c r="CB215" s="1279"/>
      <c r="CC215" s="1279"/>
      <c r="CD215" s="1279"/>
      <c r="CE215" s="1279"/>
      <c r="CF215" s="1279"/>
      <c r="CG215" s="1279"/>
      <c r="CH215" s="1279"/>
      <c r="CI215" s="1279"/>
      <c r="CJ215" s="1279"/>
      <c r="CK215" s="1279"/>
      <c r="CL215" s="1279"/>
      <c r="CM215" s="1279"/>
      <c r="CN215" s="1279"/>
      <c r="CO215" s="1279"/>
      <c r="CP215" s="1279"/>
      <c r="CQ215" s="1279"/>
      <c r="CR215" s="1279"/>
      <c r="CS215" s="1279"/>
      <c r="CT215" s="1279"/>
      <c r="CU215" s="1279"/>
      <c r="CV215" s="1279"/>
      <c r="CW215" s="1279"/>
      <c r="CX215" s="1279"/>
      <c r="CY215" s="1279"/>
      <c r="CZ215" s="1279"/>
      <c r="DA215" s="1279"/>
      <c r="DB215" s="1279"/>
      <c r="DC215" s="1279"/>
      <c r="DD215" s="1279"/>
      <c r="DE215" s="1279"/>
      <c r="DF215" s="1279"/>
      <c r="DG215" s="1279"/>
      <c r="DH215" s="1279"/>
      <c r="DI215" s="1279"/>
      <c r="DJ215" s="1279"/>
      <c r="DK215" s="1279"/>
      <c r="DL215" s="1279"/>
      <c r="DM215" s="1279"/>
      <c r="DN215" s="1279"/>
      <c r="DO215" s="1279"/>
      <c r="DP215" s="1279"/>
      <c r="DQ215" s="1279"/>
      <c r="DR215" s="1279"/>
      <c r="DS215" s="1279"/>
      <c r="DT215" s="1279"/>
      <c r="DU215" s="1279"/>
      <c r="DV215" s="1279"/>
      <c r="DW215" s="1279"/>
      <c r="DX215" s="1279"/>
      <c r="DY215" s="1279"/>
      <c r="DZ215" s="1279"/>
      <c r="EA215" s="1279"/>
      <c r="EB215" s="1279"/>
      <c r="EC215" s="1279"/>
      <c r="ED215" s="1279"/>
      <c r="EE215" s="1279"/>
      <c r="EF215" s="1279"/>
      <c r="EG215" s="1279"/>
      <c r="EH215" s="1279"/>
      <c r="EI215" s="1279"/>
      <c r="EJ215" s="1279"/>
      <c r="EK215" s="1279"/>
      <c r="EL215" s="1279"/>
      <c r="EM215" s="1279"/>
      <c r="EN215" s="1279"/>
      <c r="EO215" s="1279"/>
    </row>
    <row r="216" spans="1:145" ht="15">
      <c r="A216" s="1360"/>
      <c r="B216" s="1125"/>
      <c r="C216" s="1360"/>
      <c r="D216" s="1360"/>
      <c r="E216" s="1358"/>
      <c r="F216" s="1358"/>
      <c r="G216" s="1126"/>
      <c r="H216" s="1126"/>
      <c r="I216" s="1304"/>
      <c r="J216" s="1304"/>
      <c r="K216" s="1322"/>
      <c r="L216" s="1322"/>
      <c r="M216" s="1322"/>
      <c r="N216" s="1358"/>
      <c r="O216" s="1363"/>
      <c r="R216" s="1359"/>
      <c r="S216" s="1359"/>
      <c r="T216" s="1359"/>
      <c r="U216" s="1359"/>
      <c r="V216" s="1359"/>
      <c r="W216" s="1359"/>
      <c r="AC216" s="875"/>
      <c r="AD216" s="875"/>
      <c r="AE216" s="875"/>
      <c r="AF216" s="875"/>
      <c r="AG216" s="875"/>
      <c r="AH216" s="875"/>
      <c r="AY216" s="1279"/>
      <c r="AZ216" s="1279"/>
      <c r="BA216" s="1279"/>
      <c r="BB216" s="1279"/>
      <c r="BC216" s="1279"/>
      <c r="BD216" s="1279"/>
      <c r="BE216" s="1279"/>
      <c r="BF216" s="1279"/>
      <c r="BG216" s="1279"/>
      <c r="BH216" s="1279"/>
      <c r="BI216" s="1279"/>
      <c r="BJ216" s="1279"/>
      <c r="BK216" s="1279"/>
      <c r="BL216" s="1279"/>
      <c r="BM216" s="1279"/>
      <c r="BN216" s="1279"/>
      <c r="BO216" s="1279"/>
      <c r="BP216" s="1279"/>
      <c r="BQ216" s="1279"/>
      <c r="BR216" s="1279"/>
      <c r="BS216" s="1279"/>
      <c r="BT216" s="1279"/>
      <c r="BU216" s="1279"/>
      <c r="BV216" s="1279"/>
      <c r="BW216" s="1279"/>
      <c r="BX216" s="1279"/>
      <c r="BY216" s="1279"/>
      <c r="BZ216" s="1279"/>
      <c r="CA216" s="1279"/>
      <c r="CB216" s="1279"/>
      <c r="CC216" s="1279"/>
      <c r="CD216" s="1279"/>
      <c r="CE216" s="1279"/>
      <c r="CF216" s="1279"/>
      <c r="CG216" s="1279"/>
      <c r="CH216" s="1279"/>
      <c r="CI216" s="1279"/>
      <c r="CJ216" s="1279"/>
      <c r="CK216" s="1279"/>
      <c r="CL216" s="1279"/>
      <c r="CM216" s="1279"/>
      <c r="CN216" s="1279"/>
      <c r="CO216" s="1279"/>
      <c r="CP216" s="1279"/>
      <c r="CQ216" s="1279"/>
      <c r="CR216" s="1279"/>
      <c r="CS216" s="1279"/>
      <c r="CT216" s="1279"/>
      <c r="CU216" s="1279"/>
      <c r="CV216" s="1279"/>
      <c r="CW216" s="1279"/>
      <c r="CX216" s="1279"/>
      <c r="CY216" s="1279"/>
      <c r="CZ216" s="1279"/>
      <c r="DA216" s="1279"/>
      <c r="DB216" s="1279"/>
      <c r="DC216" s="1279"/>
      <c r="DD216" s="1279"/>
      <c r="DE216" s="1279"/>
      <c r="DF216" s="1279"/>
      <c r="DG216" s="1279"/>
      <c r="DH216" s="1279"/>
      <c r="DI216" s="1279"/>
      <c r="DJ216" s="1279"/>
      <c r="DK216" s="1279"/>
      <c r="DL216" s="1279"/>
      <c r="DM216" s="1279"/>
      <c r="DN216" s="1279"/>
      <c r="DO216" s="1279"/>
      <c r="DP216" s="1279"/>
      <c r="DQ216" s="1279"/>
      <c r="DR216" s="1279"/>
      <c r="DS216" s="1279"/>
      <c r="DT216" s="1279"/>
      <c r="DU216" s="1279"/>
      <c r="DV216" s="1279"/>
      <c r="DW216" s="1279"/>
      <c r="DX216" s="1279"/>
      <c r="DY216" s="1279"/>
      <c r="DZ216" s="1279"/>
      <c r="EA216" s="1279"/>
      <c r="EB216" s="1279"/>
      <c r="EC216" s="1279"/>
      <c r="ED216" s="1279"/>
      <c r="EE216" s="1279"/>
      <c r="EF216" s="1279"/>
      <c r="EG216" s="1279"/>
      <c r="EH216" s="1279"/>
      <c r="EI216" s="1279"/>
      <c r="EJ216" s="1279"/>
      <c r="EK216" s="1279"/>
      <c r="EL216" s="1279"/>
      <c r="EM216" s="1279"/>
      <c r="EN216" s="1279"/>
      <c r="EO216" s="1279"/>
    </row>
    <row r="217" spans="1:145" ht="15">
      <c r="A217" s="1360"/>
      <c r="B217" s="1125"/>
      <c r="C217" s="1360"/>
      <c r="D217" s="1360"/>
      <c r="E217" s="1358"/>
      <c r="F217" s="1358"/>
      <c r="G217" s="1126"/>
      <c r="H217" s="1126"/>
      <c r="I217" s="1304"/>
      <c r="J217" s="1304"/>
      <c r="K217" s="1322"/>
      <c r="L217" s="1322"/>
      <c r="M217" s="1322"/>
      <c r="N217" s="1322"/>
      <c r="O217" s="1322"/>
      <c r="R217" s="1359"/>
      <c r="S217" s="1359"/>
      <c r="T217" s="1359"/>
      <c r="U217" s="1359"/>
      <c r="V217" s="1359"/>
      <c r="W217" s="1359"/>
      <c r="AC217" s="1322"/>
      <c r="AD217" s="1322"/>
      <c r="AE217" s="1322"/>
      <c r="AF217" s="1322"/>
      <c r="AG217" s="1322"/>
      <c r="AH217" s="1322"/>
      <c r="AI217" s="1322"/>
      <c r="AJ217" s="1358"/>
      <c r="AK217" s="1358"/>
      <c r="AL217" s="1365"/>
      <c r="AM217" s="1365"/>
      <c r="AN217" s="1366"/>
      <c r="AO217" s="1322"/>
      <c r="AP217" s="1322"/>
      <c r="AQ217" s="1366"/>
      <c r="AR217" s="1365"/>
      <c r="AS217" s="1365"/>
      <c r="AT217" s="1365"/>
      <c r="AU217" s="1367"/>
      <c r="AV217" s="1322"/>
      <c r="AW217" s="1322"/>
      <c r="AX217" s="1322"/>
      <c r="AY217" s="1368"/>
      <c r="AZ217" s="1368"/>
      <c r="BA217" s="1368"/>
      <c r="BB217" s="1368"/>
      <c r="BC217" s="1368"/>
      <c r="BD217" s="1368"/>
      <c r="BE217" s="1368"/>
      <c r="BF217" s="1368"/>
      <c r="BG217" s="1368"/>
      <c r="BH217" s="1368"/>
      <c r="BI217" s="1368"/>
      <c r="BJ217" s="1368"/>
      <c r="BK217" s="1368"/>
      <c r="BL217" s="1368"/>
      <c r="BM217" s="1368"/>
      <c r="BN217" s="1368"/>
      <c r="BO217" s="1368"/>
      <c r="BP217" s="1368"/>
      <c r="BQ217" s="1368"/>
      <c r="BR217" s="1368"/>
      <c r="BS217" s="1368"/>
      <c r="BT217" s="1368"/>
      <c r="BU217" s="1368"/>
      <c r="BV217" s="1368"/>
      <c r="BW217" s="1368"/>
      <c r="BX217" s="1368"/>
      <c r="BY217" s="1368"/>
      <c r="BZ217" s="1368"/>
      <c r="CA217" s="1368"/>
      <c r="CB217" s="1368"/>
      <c r="CC217" s="1368"/>
      <c r="CD217" s="1368"/>
      <c r="CE217" s="1368"/>
      <c r="CF217" s="1368"/>
      <c r="CG217" s="1368"/>
      <c r="CH217" s="1368"/>
      <c r="CI217" s="1368"/>
      <c r="CJ217" s="1368"/>
      <c r="CK217" s="1368"/>
      <c r="CL217" s="1368"/>
      <c r="CM217" s="1368"/>
      <c r="CN217" s="1368"/>
      <c r="CO217" s="1368"/>
      <c r="CP217" s="1368"/>
      <c r="CQ217" s="1368"/>
      <c r="CR217" s="1368"/>
      <c r="CS217" s="1368"/>
      <c r="CT217" s="1368"/>
      <c r="CU217" s="1368"/>
      <c r="CV217" s="1368"/>
      <c r="CW217" s="1368"/>
      <c r="CX217" s="1368"/>
      <c r="CY217" s="1368"/>
      <c r="CZ217" s="1368"/>
      <c r="DA217" s="1368"/>
      <c r="DB217" s="1368"/>
      <c r="DC217" s="1368"/>
      <c r="DD217" s="1368"/>
      <c r="DE217" s="1368"/>
      <c r="DF217" s="1368"/>
      <c r="DG217" s="1368"/>
      <c r="DH217" s="1368"/>
      <c r="DI217" s="1368"/>
      <c r="DJ217" s="1368"/>
      <c r="DK217" s="1368"/>
      <c r="DL217" s="1368"/>
      <c r="DM217" s="1368"/>
      <c r="DN217" s="1368"/>
      <c r="DO217" s="1368"/>
      <c r="DP217" s="1368"/>
      <c r="DQ217" s="1368"/>
      <c r="DR217" s="1368"/>
      <c r="DS217" s="1368"/>
      <c r="DT217" s="1368"/>
      <c r="DU217" s="1368"/>
      <c r="DV217" s="1368"/>
      <c r="DW217" s="1368"/>
      <c r="DX217" s="1368"/>
      <c r="DY217" s="1368"/>
      <c r="DZ217" s="1368"/>
      <c r="EA217" s="1368"/>
      <c r="EB217" s="1368"/>
      <c r="EC217" s="1368"/>
      <c r="ED217" s="1368"/>
      <c r="EE217" s="1368"/>
      <c r="EF217" s="1368"/>
      <c r="EG217" s="1368"/>
      <c r="EH217" s="1279"/>
      <c r="EI217" s="1279"/>
      <c r="EJ217" s="1279"/>
      <c r="EK217" s="1279"/>
      <c r="EL217" s="1279"/>
      <c r="EM217" s="1279"/>
      <c r="EN217" s="1279"/>
      <c r="EO217" s="1279"/>
    </row>
    <row r="218" spans="1:145" ht="15">
      <c r="A218" s="1360"/>
      <c r="B218" s="1125"/>
      <c r="C218" s="1360"/>
      <c r="D218" s="1360"/>
      <c r="E218" s="1358"/>
      <c r="F218" s="1358"/>
      <c r="G218" s="1126"/>
      <c r="H218" s="1126"/>
      <c r="I218" s="1304"/>
      <c r="J218" s="1304"/>
      <c r="K218" s="1322"/>
      <c r="L218" s="1322"/>
      <c r="M218" s="1322"/>
      <c r="N218" s="1322"/>
      <c r="O218" s="1304"/>
      <c r="R218" s="1322"/>
      <c r="U218" s="1359"/>
      <c r="V218" s="1359"/>
      <c r="W218" s="1359"/>
      <c r="AF218" s="1322"/>
      <c r="AG218" s="1322"/>
      <c r="AH218" s="1322"/>
      <c r="AI218" s="1322"/>
      <c r="AJ218" s="1358"/>
      <c r="AK218" s="1358"/>
      <c r="AL218" s="1365"/>
      <c r="AM218" s="1365"/>
      <c r="AN218" s="1366"/>
      <c r="AO218" s="1322"/>
      <c r="AP218" s="1322"/>
      <c r="AQ218" s="1366"/>
      <c r="AR218" s="1365"/>
      <c r="AS218" s="1365"/>
      <c r="AT218" s="1365"/>
      <c r="AU218" s="1367"/>
      <c r="AV218" s="1322"/>
      <c r="AW218" s="1322"/>
      <c r="AX218" s="1322"/>
      <c r="AY218" s="1368"/>
      <c r="AZ218" s="1368"/>
      <c r="BA218" s="1368"/>
      <c r="BB218" s="1368"/>
      <c r="BC218" s="1368"/>
      <c r="BD218" s="1368"/>
      <c r="BE218" s="1368"/>
      <c r="BF218" s="1368"/>
      <c r="BG218" s="1368"/>
      <c r="BH218" s="1368"/>
      <c r="BI218" s="1368"/>
      <c r="BJ218" s="1368"/>
      <c r="BK218" s="1368"/>
      <c r="BL218" s="1368"/>
      <c r="BM218" s="1368"/>
      <c r="BN218" s="1368"/>
      <c r="BO218" s="1368"/>
      <c r="BP218" s="1368"/>
      <c r="BQ218" s="1368"/>
      <c r="BR218" s="1368"/>
      <c r="BS218" s="1368"/>
      <c r="BT218" s="1368"/>
      <c r="BU218" s="1368"/>
      <c r="BV218" s="1368"/>
      <c r="BW218" s="1368"/>
      <c r="BX218" s="1368"/>
      <c r="BY218" s="1368"/>
      <c r="BZ218" s="1368"/>
      <c r="CA218" s="1368"/>
      <c r="CB218" s="1368"/>
      <c r="CC218" s="1368"/>
      <c r="CD218" s="1368"/>
      <c r="CE218" s="1368"/>
      <c r="CF218" s="1368"/>
      <c r="CG218" s="1368"/>
      <c r="CH218" s="1368"/>
      <c r="CI218" s="1368"/>
      <c r="CJ218" s="1368"/>
      <c r="CK218" s="1368"/>
      <c r="CL218" s="1368"/>
      <c r="CM218" s="1368"/>
      <c r="CN218" s="1368"/>
      <c r="CO218" s="1368"/>
      <c r="CP218" s="1368"/>
      <c r="CQ218" s="1368"/>
      <c r="CR218" s="1368"/>
      <c r="CS218" s="1368"/>
      <c r="CT218" s="1368"/>
      <c r="CU218" s="1368"/>
      <c r="CV218" s="1368"/>
      <c r="CW218" s="1368"/>
      <c r="CX218" s="1368"/>
      <c r="CY218" s="1368"/>
      <c r="CZ218" s="1368"/>
      <c r="DA218" s="1368"/>
      <c r="DB218" s="1368"/>
      <c r="DC218" s="1368"/>
      <c r="DD218" s="1368"/>
      <c r="DE218" s="1368"/>
      <c r="DF218" s="1368"/>
      <c r="DG218" s="1368"/>
      <c r="DH218" s="1368"/>
      <c r="DI218" s="1368"/>
      <c r="DJ218" s="1368"/>
      <c r="DK218" s="1368"/>
      <c r="DL218" s="1368"/>
      <c r="DM218" s="1368"/>
      <c r="DN218" s="1368"/>
      <c r="DO218" s="1368"/>
      <c r="DP218" s="1368"/>
      <c r="DQ218" s="1368"/>
      <c r="DR218" s="1368"/>
      <c r="DS218" s="1368"/>
      <c r="DT218" s="1368"/>
      <c r="DU218" s="1368"/>
      <c r="DV218" s="1368"/>
      <c r="DW218" s="1368"/>
      <c r="DX218" s="1368"/>
      <c r="DY218" s="1368"/>
      <c r="DZ218" s="1368"/>
      <c r="EA218" s="1368"/>
      <c r="EB218" s="1368"/>
      <c r="EC218" s="1368"/>
      <c r="ED218" s="1368"/>
      <c r="EE218" s="1368"/>
      <c r="EF218" s="1368"/>
      <c r="EG218" s="1368"/>
      <c r="EH218" s="1368"/>
      <c r="EI218" s="1368"/>
      <c r="EJ218" s="1368"/>
      <c r="EK218" s="1279"/>
      <c r="EL218" s="1279"/>
      <c r="EM218" s="1279"/>
      <c r="EN218" s="1279"/>
      <c r="EO218" s="1279"/>
    </row>
    <row r="219" spans="1:145" ht="15">
      <c r="A219" s="1130"/>
      <c r="B219" s="1131"/>
      <c r="C219" s="1315"/>
      <c r="D219" s="1315"/>
      <c r="E219" s="1321"/>
      <c r="F219" s="1321"/>
      <c r="I219" s="1360"/>
      <c r="J219" s="1360"/>
      <c r="K219" s="1322"/>
      <c r="L219" s="1322"/>
      <c r="M219" s="1322"/>
      <c r="N219" s="1322"/>
      <c r="O219" s="1304"/>
      <c r="R219" s="1322"/>
      <c r="U219" s="1359"/>
      <c r="V219" s="1359"/>
      <c r="W219" s="1359"/>
      <c r="AF219" s="875"/>
      <c r="AG219" s="875"/>
      <c r="AH219" s="875"/>
      <c r="AY219" s="1279"/>
      <c r="AZ219" s="1279"/>
      <c r="BA219" s="1279"/>
      <c r="BB219" s="1279"/>
      <c r="BC219" s="1279"/>
      <c r="BD219" s="1279"/>
      <c r="BE219" s="1279"/>
      <c r="BF219" s="1279"/>
      <c r="BG219" s="1279"/>
      <c r="BH219" s="1279"/>
      <c r="BI219" s="1279"/>
      <c r="BJ219" s="1279"/>
      <c r="BK219" s="1279"/>
      <c r="BL219" s="1279"/>
      <c r="BM219" s="1279"/>
      <c r="BN219" s="1279"/>
      <c r="BO219" s="1279"/>
      <c r="BP219" s="1279"/>
      <c r="BQ219" s="1279"/>
      <c r="BR219" s="1279"/>
      <c r="BS219" s="1279"/>
      <c r="BT219" s="1279"/>
      <c r="BU219" s="1279"/>
      <c r="BV219" s="1279"/>
      <c r="BW219" s="1279"/>
      <c r="BX219" s="1279"/>
      <c r="BY219" s="1279"/>
      <c r="BZ219" s="1279"/>
      <c r="CA219" s="1279"/>
      <c r="CB219" s="1279"/>
      <c r="CC219" s="1279"/>
      <c r="CD219" s="1279"/>
      <c r="CE219" s="1279"/>
      <c r="CF219" s="1279"/>
      <c r="CG219" s="1279"/>
      <c r="CH219" s="1279"/>
      <c r="CI219" s="1279"/>
      <c r="CJ219" s="1279"/>
      <c r="CK219" s="1279"/>
      <c r="CL219" s="1279"/>
      <c r="CM219" s="1279"/>
      <c r="CN219" s="1279"/>
      <c r="CO219" s="1279"/>
      <c r="CP219" s="1279"/>
      <c r="CQ219" s="1279"/>
      <c r="CR219" s="1279"/>
      <c r="CS219" s="1279"/>
      <c r="CT219" s="1279"/>
      <c r="CU219" s="1279"/>
      <c r="CV219" s="1279"/>
      <c r="CW219" s="1279"/>
      <c r="CX219" s="1279"/>
      <c r="CY219" s="1279"/>
      <c r="CZ219" s="1279"/>
      <c r="DA219" s="1279"/>
      <c r="DB219" s="1279"/>
      <c r="DC219" s="1279"/>
      <c r="DD219" s="1279"/>
      <c r="DE219" s="1279"/>
      <c r="DF219" s="1279"/>
      <c r="DG219" s="1279"/>
      <c r="DH219" s="1279"/>
      <c r="DI219" s="1279"/>
      <c r="DJ219" s="1279"/>
      <c r="DK219" s="1279"/>
      <c r="DL219" s="1279"/>
      <c r="DM219" s="1279"/>
      <c r="DN219" s="1279"/>
      <c r="DO219" s="1279"/>
      <c r="DP219" s="1279"/>
      <c r="DQ219" s="1279"/>
      <c r="DR219" s="1279"/>
      <c r="DS219" s="1279"/>
      <c r="DT219" s="1279"/>
      <c r="DU219" s="1279"/>
      <c r="DV219" s="1279"/>
      <c r="DW219" s="1279"/>
      <c r="DX219" s="1279"/>
      <c r="DY219" s="1279"/>
      <c r="DZ219" s="1279"/>
      <c r="EA219" s="1279"/>
      <c r="EB219" s="1279"/>
      <c r="EC219" s="1279"/>
      <c r="ED219" s="1279"/>
      <c r="EE219" s="1279"/>
      <c r="EF219" s="1279"/>
      <c r="EG219" s="1279"/>
      <c r="EH219" s="1279"/>
      <c r="EI219" s="1279"/>
      <c r="EJ219" s="1279"/>
      <c r="EK219" s="1279"/>
      <c r="EL219" s="1279"/>
      <c r="EM219" s="1279"/>
      <c r="EN219" s="1279"/>
      <c r="EO219" s="1279"/>
    </row>
    <row r="220" spans="1:145" ht="15">
      <c r="A220" s="1130"/>
      <c r="B220" s="1131"/>
      <c r="C220" s="1315"/>
      <c r="D220" s="1315"/>
      <c r="E220" s="1321"/>
      <c r="F220" s="1321"/>
      <c r="I220" s="1360"/>
      <c r="J220" s="1360"/>
      <c r="K220" s="1322"/>
      <c r="L220" s="1322"/>
      <c r="M220" s="1322"/>
      <c r="N220" s="1322"/>
      <c r="O220" s="1304"/>
      <c r="R220" s="1322"/>
      <c r="U220" s="1359"/>
      <c r="V220" s="1359"/>
      <c r="W220" s="1359"/>
      <c r="AF220" s="875"/>
      <c r="AG220" s="875"/>
      <c r="AH220" s="875"/>
      <c r="AY220" s="1279"/>
      <c r="AZ220" s="1279"/>
      <c r="BA220" s="1279"/>
      <c r="BB220" s="1279"/>
      <c r="BC220" s="1279"/>
      <c r="BD220" s="1279"/>
      <c r="BE220" s="1279"/>
      <c r="BF220" s="1279"/>
      <c r="BG220" s="1279"/>
      <c r="BH220" s="1279"/>
      <c r="BI220" s="1279"/>
      <c r="BJ220" s="1279"/>
      <c r="BK220" s="1279"/>
      <c r="BL220" s="1279"/>
      <c r="BM220" s="1279"/>
      <c r="BN220" s="1279"/>
      <c r="BO220" s="1279"/>
      <c r="BP220" s="1279"/>
      <c r="BQ220" s="1279"/>
      <c r="BR220" s="1279"/>
      <c r="BS220" s="1279"/>
      <c r="BT220" s="1279"/>
      <c r="BU220" s="1279"/>
      <c r="BV220" s="1279"/>
      <c r="BW220" s="1279"/>
      <c r="BX220" s="1279"/>
      <c r="BY220" s="1279"/>
      <c r="BZ220" s="1279"/>
      <c r="CA220" s="1279"/>
      <c r="CB220" s="1279"/>
      <c r="CC220" s="1279"/>
      <c r="CD220" s="1279"/>
      <c r="CE220" s="1279"/>
      <c r="CF220" s="1279"/>
      <c r="CG220" s="1279"/>
      <c r="CH220" s="1279"/>
      <c r="CI220" s="1279"/>
      <c r="CJ220" s="1279"/>
      <c r="CK220" s="1279"/>
      <c r="CL220" s="1279"/>
      <c r="CM220" s="1279"/>
      <c r="CN220" s="1279"/>
      <c r="CO220" s="1279"/>
      <c r="CP220" s="1279"/>
      <c r="CQ220" s="1279"/>
      <c r="CR220" s="1279"/>
      <c r="CS220" s="1279"/>
      <c r="CT220" s="1279"/>
      <c r="CU220" s="1279"/>
      <c r="CV220" s="1279"/>
      <c r="CW220" s="1279"/>
      <c r="CX220" s="1279"/>
      <c r="CY220" s="1279"/>
      <c r="CZ220" s="1279"/>
      <c r="DA220" s="1279"/>
      <c r="DB220" s="1279"/>
      <c r="DC220" s="1279"/>
      <c r="DD220" s="1279"/>
      <c r="DE220" s="1279"/>
      <c r="DF220" s="1279"/>
      <c r="DG220" s="1279"/>
      <c r="DH220" s="1279"/>
      <c r="DI220" s="1279"/>
      <c r="DJ220" s="1279"/>
      <c r="DK220" s="1279"/>
      <c r="DL220" s="1279"/>
      <c r="DM220" s="1279"/>
      <c r="DN220" s="1279"/>
      <c r="DO220" s="1279"/>
      <c r="DP220" s="1279"/>
      <c r="DQ220" s="1279"/>
      <c r="DR220" s="1279"/>
      <c r="DS220" s="1279"/>
      <c r="DT220" s="1279"/>
      <c r="DU220" s="1279"/>
      <c r="DV220" s="1279"/>
      <c r="DW220" s="1279"/>
      <c r="DX220" s="1279"/>
      <c r="DY220" s="1279"/>
      <c r="DZ220" s="1279"/>
      <c r="EA220" s="1279"/>
      <c r="EB220" s="1279"/>
      <c r="EC220" s="1279"/>
      <c r="ED220" s="1279"/>
      <c r="EE220" s="1279"/>
      <c r="EF220" s="1279"/>
      <c r="EG220" s="1279"/>
      <c r="EH220" s="1279"/>
      <c r="EI220" s="1279"/>
      <c r="EJ220" s="1279"/>
      <c r="EK220" s="1279"/>
      <c r="EL220" s="1279"/>
      <c r="EM220" s="1279"/>
      <c r="EN220" s="1279"/>
      <c r="EO220" s="1279"/>
    </row>
    <row r="221" spans="1:145" ht="15">
      <c r="A221" s="1130"/>
      <c r="B221" s="1131"/>
      <c r="C221" s="1315"/>
      <c r="D221" s="1315"/>
      <c r="E221" s="1321"/>
      <c r="F221" s="1321"/>
      <c r="I221" s="1360"/>
      <c r="J221" s="1360"/>
      <c r="K221" s="1322"/>
      <c r="L221" s="1322"/>
      <c r="M221" s="1322"/>
      <c r="N221" s="1322"/>
      <c r="O221" s="1304"/>
      <c r="R221" s="1322"/>
      <c r="U221" s="1359"/>
      <c r="V221" s="1359"/>
      <c r="W221" s="1359"/>
      <c r="AF221" s="875"/>
      <c r="AG221" s="875"/>
      <c r="AH221" s="875"/>
      <c r="AY221" s="1279"/>
      <c r="AZ221" s="1279"/>
      <c r="BA221" s="1279"/>
      <c r="BB221" s="1279"/>
      <c r="BC221" s="1279"/>
      <c r="BD221" s="1279"/>
      <c r="BE221" s="1279"/>
      <c r="BF221" s="1279"/>
      <c r="BG221" s="1279"/>
      <c r="BH221" s="1279"/>
      <c r="BI221" s="1279"/>
      <c r="BJ221" s="1279"/>
      <c r="BK221" s="1279"/>
      <c r="BL221" s="1279"/>
      <c r="BM221" s="1279"/>
      <c r="BN221" s="1279"/>
      <c r="BO221" s="1279"/>
      <c r="BP221" s="1279"/>
      <c r="BQ221" s="1279"/>
      <c r="BR221" s="1279"/>
      <c r="BS221" s="1279"/>
      <c r="BT221" s="1279"/>
      <c r="BU221" s="1279"/>
      <c r="BV221" s="1279"/>
      <c r="BW221" s="1279"/>
      <c r="BX221" s="1279"/>
      <c r="BY221" s="1279"/>
      <c r="BZ221" s="1279"/>
      <c r="CA221" s="1279"/>
      <c r="CB221" s="1279"/>
      <c r="CC221" s="1279"/>
      <c r="CD221" s="1279"/>
      <c r="CE221" s="1279"/>
      <c r="CF221" s="1279"/>
      <c r="CG221" s="1279"/>
      <c r="CH221" s="1279"/>
      <c r="CI221" s="1279"/>
      <c r="CJ221" s="1279"/>
      <c r="CK221" s="1279"/>
      <c r="CL221" s="1279"/>
      <c r="CM221" s="1279"/>
      <c r="CN221" s="1279"/>
      <c r="CO221" s="1279"/>
      <c r="CP221" s="1279"/>
      <c r="CQ221" s="1279"/>
      <c r="CR221" s="1279"/>
      <c r="CS221" s="1279"/>
      <c r="CT221" s="1279"/>
      <c r="CU221" s="1279"/>
      <c r="CV221" s="1279"/>
      <c r="CW221" s="1279"/>
      <c r="CX221" s="1279"/>
      <c r="CY221" s="1279"/>
      <c r="CZ221" s="1279"/>
      <c r="DA221" s="1279"/>
      <c r="DB221" s="1279"/>
      <c r="DC221" s="1279"/>
      <c r="DD221" s="1279"/>
      <c r="DE221" s="1279"/>
      <c r="DF221" s="1279"/>
      <c r="DG221" s="1279"/>
      <c r="DH221" s="1279"/>
      <c r="DI221" s="1279"/>
      <c r="DJ221" s="1279"/>
      <c r="DK221" s="1279"/>
      <c r="DL221" s="1279"/>
      <c r="DM221" s="1279"/>
      <c r="DN221" s="1279"/>
      <c r="DO221" s="1279"/>
      <c r="DP221" s="1279"/>
      <c r="DQ221" s="1279"/>
      <c r="DR221" s="1279"/>
      <c r="DS221" s="1279"/>
      <c r="DT221" s="1279"/>
      <c r="DU221" s="1279"/>
      <c r="DV221" s="1279"/>
      <c r="DW221" s="1279"/>
      <c r="DX221" s="1279"/>
      <c r="DY221" s="1279"/>
      <c r="DZ221" s="1279"/>
      <c r="EA221" s="1279"/>
      <c r="EB221" s="1279"/>
      <c r="EC221" s="1279"/>
      <c r="ED221" s="1279"/>
      <c r="EE221" s="1279"/>
      <c r="EF221" s="1279"/>
      <c r="EG221" s="1279"/>
      <c r="EH221" s="1279"/>
      <c r="EI221" s="1279"/>
      <c r="EJ221" s="1279"/>
      <c r="EK221" s="1279"/>
      <c r="EL221" s="1279"/>
      <c r="EM221" s="1279"/>
      <c r="EN221" s="1279"/>
      <c r="EO221" s="1279"/>
    </row>
    <row r="222" spans="1:145" s="1322" customFormat="1" ht="15">
      <c r="A222" s="1130"/>
      <c r="B222" s="1131"/>
      <c r="C222" s="1315"/>
      <c r="D222" s="1315"/>
      <c r="E222" s="1321"/>
      <c r="F222" s="1321"/>
      <c r="G222" s="1003"/>
      <c r="H222" s="1003"/>
      <c r="I222" s="1360"/>
      <c r="J222" s="1360"/>
      <c r="L222" s="1315"/>
      <c r="M222" s="1315"/>
      <c r="N222" s="1360"/>
      <c r="O222" s="1360"/>
      <c r="R222" s="1304"/>
      <c r="X222" s="1359"/>
      <c r="Y222" s="1359"/>
      <c r="Z222" s="1359"/>
      <c r="AA222" s="1359"/>
      <c r="AB222" s="1359"/>
      <c r="AC222" s="1359"/>
      <c r="AD222" s="1359"/>
      <c r="AE222" s="1359"/>
      <c r="AF222" s="1359"/>
      <c r="AG222" s="1359"/>
      <c r="AH222" s="1359"/>
      <c r="AI222" s="875"/>
      <c r="AJ222" s="1253"/>
      <c r="AK222" s="1253"/>
      <c r="AL222" s="1300"/>
      <c r="AM222" s="1300"/>
      <c r="AN222" s="1302"/>
      <c r="AO222" s="875"/>
      <c r="AP222" s="875"/>
      <c r="AQ222" s="1302"/>
      <c r="AR222" s="1300"/>
      <c r="AS222" s="1300"/>
      <c r="AT222" s="1300"/>
      <c r="AU222" s="1304"/>
      <c r="AV222" s="875"/>
      <c r="AW222" s="875"/>
      <c r="AX222" s="875"/>
      <c r="AY222" s="1279"/>
      <c r="AZ222" s="1279"/>
      <c r="BA222" s="1279"/>
      <c r="BB222" s="1279"/>
      <c r="BC222" s="1279"/>
      <c r="BD222" s="1279"/>
      <c r="BE222" s="1279"/>
      <c r="BF222" s="1279"/>
      <c r="BG222" s="1279"/>
      <c r="BH222" s="1279"/>
      <c r="BI222" s="1279"/>
      <c r="BJ222" s="1279"/>
      <c r="BK222" s="1279"/>
      <c r="BL222" s="1279"/>
      <c r="BM222" s="1279"/>
      <c r="BN222" s="1279"/>
      <c r="BO222" s="1279"/>
      <c r="BP222" s="1279"/>
      <c r="BQ222" s="1279"/>
      <c r="BR222" s="1279"/>
      <c r="BS222" s="1279"/>
      <c r="BT222" s="1279"/>
      <c r="BU222" s="1279"/>
      <c r="BV222" s="1279"/>
      <c r="BW222" s="1279"/>
      <c r="BX222" s="1279"/>
      <c r="BY222" s="1279"/>
      <c r="BZ222" s="1279"/>
      <c r="CA222" s="1279"/>
      <c r="CB222" s="1279"/>
      <c r="CC222" s="1279"/>
      <c r="CD222" s="1279"/>
      <c r="CE222" s="1279"/>
      <c r="CF222" s="1279"/>
      <c r="CG222" s="1279"/>
      <c r="CH222" s="1279"/>
      <c r="CI222" s="1279"/>
      <c r="CJ222" s="1279"/>
      <c r="CK222" s="1279"/>
      <c r="CL222" s="1279"/>
      <c r="CM222" s="1279"/>
      <c r="CN222" s="1279"/>
      <c r="CO222" s="1279"/>
      <c r="CP222" s="1279"/>
      <c r="CQ222" s="1279"/>
      <c r="CR222" s="1279"/>
      <c r="CS222" s="1279"/>
      <c r="CT222" s="1279"/>
      <c r="CU222" s="1279"/>
      <c r="CV222" s="1279"/>
      <c r="CW222" s="1279"/>
      <c r="CX222" s="1279"/>
      <c r="CY222" s="1279"/>
      <c r="CZ222" s="1279"/>
      <c r="DA222" s="1279"/>
      <c r="DB222" s="1279"/>
      <c r="DC222" s="1279"/>
      <c r="DD222" s="1279"/>
      <c r="DE222" s="1279"/>
      <c r="DF222" s="1279"/>
      <c r="DG222" s="1279"/>
      <c r="DH222" s="1279"/>
      <c r="DI222" s="1279"/>
      <c r="DJ222" s="1279"/>
      <c r="DK222" s="1279"/>
      <c r="DL222" s="1279"/>
      <c r="DM222" s="1279"/>
      <c r="DN222" s="1279"/>
      <c r="DO222" s="1279"/>
      <c r="DP222" s="1279"/>
      <c r="DQ222" s="1279"/>
      <c r="DR222" s="1279"/>
      <c r="DS222" s="1279"/>
      <c r="DT222" s="1279"/>
      <c r="DU222" s="1279"/>
      <c r="DV222" s="1279"/>
      <c r="DW222" s="1279"/>
      <c r="DX222" s="1279"/>
      <c r="DY222" s="1279"/>
      <c r="DZ222" s="1279"/>
      <c r="EA222" s="1279"/>
      <c r="EB222" s="1279"/>
      <c r="EC222" s="1279"/>
      <c r="ED222" s="1279"/>
      <c r="EE222" s="1279"/>
      <c r="EF222" s="1279"/>
      <c r="EG222" s="1279"/>
      <c r="EH222" s="1279"/>
      <c r="EI222" s="1279"/>
      <c r="EJ222" s="1279"/>
      <c r="EK222" s="1279"/>
      <c r="EL222" s="1279"/>
      <c r="EM222" s="1279"/>
      <c r="EN222" s="1368"/>
      <c r="EO222" s="1368"/>
    </row>
    <row r="223" spans="1:145" s="1322" customFormat="1" ht="15">
      <c r="A223" s="1253"/>
      <c r="B223" s="1052"/>
      <c r="C223" s="875"/>
      <c r="D223" s="875"/>
      <c r="E223" s="1001"/>
      <c r="F223" s="1001"/>
      <c r="G223" s="1003"/>
      <c r="H223" s="1003"/>
      <c r="I223" s="1315"/>
      <c r="J223" s="1315"/>
      <c r="K223" s="1315"/>
      <c r="L223" s="1315"/>
      <c r="M223" s="1315"/>
      <c r="N223" s="1360"/>
      <c r="O223" s="1360"/>
      <c r="R223" s="1304"/>
      <c r="X223" s="1359"/>
      <c r="Y223" s="1359"/>
      <c r="Z223" s="1359"/>
      <c r="AA223" s="1359"/>
      <c r="AB223" s="1359"/>
      <c r="AC223" s="1359"/>
      <c r="AD223" s="1359"/>
      <c r="AE223" s="1359"/>
      <c r="AF223" s="1359"/>
      <c r="AG223" s="1359"/>
      <c r="AH223" s="1359"/>
      <c r="AI223" s="875"/>
      <c r="AJ223" s="1253"/>
      <c r="AK223" s="1253"/>
      <c r="AL223" s="1300"/>
      <c r="AM223" s="1300"/>
      <c r="AN223" s="1302"/>
      <c r="AO223" s="875"/>
      <c r="AP223" s="875"/>
      <c r="AQ223" s="1302"/>
      <c r="AR223" s="1300"/>
      <c r="AS223" s="1300"/>
      <c r="AT223" s="1300"/>
      <c r="AU223" s="1304"/>
      <c r="AV223" s="875"/>
      <c r="AW223" s="875"/>
      <c r="AX223" s="875"/>
      <c r="AY223" s="1279"/>
      <c r="AZ223" s="1279"/>
      <c r="BA223" s="1279"/>
      <c r="BB223" s="1279"/>
      <c r="BC223" s="1279"/>
      <c r="BD223" s="1279"/>
      <c r="BE223" s="1279"/>
      <c r="BF223" s="1279"/>
      <c r="BG223" s="1279"/>
      <c r="BH223" s="1279"/>
      <c r="BI223" s="1279"/>
      <c r="BJ223" s="1279"/>
      <c r="BK223" s="1279"/>
      <c r="BL223" s="1279"/>
      <c r="BM223" s="1279"/>
      <c r="BN223" s="1279"/>
      <c r="BO223" s="1279"/>
      <c r="BP223" s="1279"/>
      <c r="BQ223" s="1279"/>
      <c r="BR223" s="1279"/>
      <c r="BS223" s="1279"/>
      <c r="BT223" s="1279"/>
      <c r="BU223" s="1279"/>
      <c r="BV223" s="1279"/>
      <c r="BW223" s="1279"/>
      <c r="BX223" s="1279"/>
      <c r="BY223" s="1279"/>
      <c r="BZ223" s="1279"/>
      <c r="CA223" s="1279"/>
      <c r="CB223" s="1279"/>
      <c r="CC223" s="1279"/>
      <c r="CD223" s="1279"/>
      <c r="CE223" s="1279"/>
      <c r="CF223" s="1279"/>
      <c r="CG223" s="1279"/>
      <c r="CH223" s="1279"/>
      <c r="CI223" s="1279"/>
      <c r="CJ223" s="1279"/>
      <c r="CK223" s="1279"/>
      <c r="CL223" s="1279"/>
      <c r="CM223" s="1279"/>
      <c r="CN223" s="1279"/>
      <c r="CO223" s="1279"/>
      <c r="CP223" s="1279"/>
      <c r="CQ223" s="1279"/>
      <c r="CR223" s="1279"/>
      <c r="CS223" s="1279"/>
      <c r="CT223" s="1279"/>
      <c r="CU223" s="1279"/>
      <c r="CV223" s="1279"/>
      <c r="CW223" s="1279"/>
      <c r="CX223" s="1279"/>
      <c r="CY223" s="1279"/>
      <c r="CZ223" s="1279"/>
      <c r="DA223" s="1279"/>
      <c r="DB223" s="1279"/>
      <c r="DC223" s="1279"/>
      <c r="DD223" s="1279"/>
      <c r="DE223" s="1279"/>
      <c r="DF223" s="1279"/>
      <c r="DG223" s="1279"/>
      <c r="DH223" s="1279"/>
      <c r="DI223" s="1279"/>
      <c r="DJ223" s="1279"/>
      <c r="DK223" s="1279"/>
      <c r="DL223" s="1279"/>
      <c r="DM223" s="1279"/>
      <c r="DN223" s="1279"/>
      <c r="DO223" s="1279"/>
      <c r="DP223" s="1279"/>
      <c r="DQ223" s="1279"/>
      <c r="DR223" s="1279"/>
      <c r="DS223" s="1279"/>
      <c r="DT223" s="1279"/>
      <c r="DU223" s="1279"/>
      <c r="DV223" s="1279"/>
      <c r="DW223" s="1279"/>
      <c r="DX223" s="1279"/>
      <c r="DY223" s="1279"/>
      <c r="DZ223" s="1279"/>
      <c r="EA223" s="1279"/>
      <c r="EB223" s="1279"/>
      <c r="EC223" s="1279"/>
      <c r="ED223" s="1279"/>
      <c r="EE223" s="1279"/>
      <c r="EF223" s="1279"/>
      <c r="EG223" s="1279"/>
      <c r="EH223" s="1279"/>
      <c r="EI223" s="1279"/>
      <c r="EJ223" s="1279"/>
      <c r="EK223" s="1279"/>
      <c r="EL223" s="1279"/>
      <c r="EM223" s="1279"/>
      <c r="EN223" s="1368"/>
      <c r="EO223" s="1368"/>
    </row>
    <row r="224" spans="51:145" ht="15">
      <c r="AY224" s="1279"/>
      <c r="AZ224" s="1279"/>
      <c r="BA224" s="1279"/>
      <c r="BB224" s="1279"/>
      <c r="BC224" s="1279"/>
      <c r="BD224" s="1279"/>
      <c r="BE224" s="1279"/>
      <c r="BF224" s="1279"/>
      <c r="BG224" s="1279"/>
      <c r="BH224" s="1279"/>
      <c r="BI224" s="1279"/>
      <c r="BJ224" s="1279"/>
      <c r="BK224" s="1279"/>
      <c r="BL224" s="1279"/>
      <c r="BM224" s="1279"/>
      <c r="BN224" s="1279"/>
      <c r="BO224" s="1279"/>
      <c r="BP224" s="1279"/>
      <c r="BQ224" s="1279"/>
      <c r="BR224" s="1279"/>
      <c r="BS224" s="1279"/>
      <c r="BT224" s="1279"/>
      <c r="BU224" s="1279"/>
      <c r="BV224" s="1279"/>
      <c r="BW224" s="1279"/>
      <c r="BX224" s="1279"/>
      <c r="BY224" s="1279"/>
      <c r="BZ224" s="1279"/>
      <c r="CA224" s="1279"/>
      <c r="CB224" s="1279"/>
      <c r="CC224" s="1279"/>
      <c r="CD224" s="1279"/>
      <c r="CE224" s="1279"/>
      <c r="CF224" s="1279"/>
      <c r="CG224" s="1279"/>
      <c r="CH224" s="1279"/>
      <c r="CI224" s="1279"/>
      <c r="CJ224" s="1279"/>
      <c r="CK224" s="1279"/>
      <c r="CL224" s="1279"/>
      <c r="CM224" s="1279"/>
      <c r="CN224" s="1279"/>
      <c r="CO224" s="1279"/>
      <c r="CP224" s="1279"/>
      <c r="CQ224" s="1279"/>
      <c r="CR224" s="1279"/>
      <c r="CS224" s="1279"/>
      <c r="CT224" s="1279"/>
      <c r="CU224" s="1279"/>
      <c r="CV224" s="1279"/>
      <c r="CW224" s="1279"/>
      <c r="CX224" s="1279"/>
      <c r="CY224" s="1279"/>
      <c r="CZ224" s="1279"/>
      <c r="DA224" s="1279"/>
      <c r="DB224" s="1279"/>
      <c r="DC224" s="1279"/>
      <c r="DD224" s="1279"/>
      <c r="DE224" s="1279"/>
      <c r="DF224" s="1279"/>
      <c r="DG224" s="1279"/>
      <c r="DH224" s="1279"/>
      <c r="DI224" s="1279"/>
      <c r="DJ224" s="1279"/>
      <c r="DK224" s="1279"/>
      <c r="DL224" s="1279"/>
      <c r="DM224" s="1279"/>
      <c r="DN224" s="1279"/>
      <c r="DO224" s="1279"/>
      <c r="DP224" s="1279"/>
      <c r="DQ224" s="1279"/>
      <c r="DR224" s="1279"/>
      <c r="DS224" s="1279"/>
      <c r="DT224" s="1279"/>
      <c r="DU224" s="1279"/>
      <c r="DV224" s="1279"/>
      <c r="DW224" s="1279"/>
      <c r="DX224" s="1279"/>
      <c r="DY224" s="1279"/>
      <c r="DZ224" s="1279"/>
      <c r="EA224" s="1279"/>
      <c r="EB224" s="1279"/>
      <c r="EC224" s="1279"/>
      <c r="ED224" s="1279"/>
      <c r="EE224" s="1279"/>
      <c r="EF224" s="1279"/>
      <c r="EG224" s="1279"/>
      <c r="EH224" s="1279"/>
      <c r="EI224" s="1279"/>
      <c r="EJ224" s="1279"/>
      <c r="EK224" s="1279"/>
      <c r="EL224" s="1279"/>
      <c r="EM224" s="1279"/>
      <c r="EN224" s="1279"/>
      <c r="EO224" s="1279"/>
    </row>
    <row r="225" spans="51:145" ht="15">
      <c r="AY225" s="1279"/>
      <c r="AZ225" s="1279"/>
      <c r="BA225" s="1279"/>
      <c r="BB225" s="1279"/>
      <c r="BC225" s="1279"/>
      <c r="BD225" s="1279"/>
      <c r="BE225" s="1279"/>
      <c r="BF225" s="1279"/>
      <c r="BG225" s="1279"/>
      <c r="BH225" s="1279"/>
      <c r="BI225" s="1279"/>
      <c r="BJ225" s="1279"/>
      <c r="BK225" s="1279"/>
      <c r="BL225" s="1279"/>
      <c r="BM225" s="1279"/>
      <c r="BN225" s="1279"/>
      <c r="BO225" s="1279"/>
      <c r="BP225" s="1279"/>
      <c r="BQ225" s="1279"/>
      <c r="BR225" s="1279"/>
      <c r="BS225" s="1279"/>
      <c r="BT225" s="1279"/>
      <c r="BU225" s="1279"/>
      <c r="BV225" s="1279"/>
      <c r="BW225" s="1279"/>
      <c r="BX225" s="1279"/>
      <c r="BY225" s="1279"/>
      <c r="BZ225" s="1279"/>
      <c r="CA225" s="1279"/>
      <c r="CB225" s="1279"/>
      <c r="CC225" s="1279"/>
      <c r="CD225" s="1279"/>
      <c r="CE225" s="1279"/>
      <c r="CF225" s="1279"/>
      <c r="CG225" s="1279"/>
      <c r="CH225" s="1279"/>
      <c r="CI225" s="1279"/>
      <c r="CJ225" s="1279"/>
      <c r="CK225" s="1279"/>
      <c r="CL225" s="1279"/>
      <c r="CM225" s="1279"/>
      <c r="CN225" s="1279"/>
      <c r="CO225" s="1279"/>
      <c r="CP225" s="1279"/>
      <c r="CQ225" s="1279"/>
      <c r="CR225" s="1279"/>
      <c r="CS225" s="1279"/>
      <c r="CT225" s="1279"/>
      <c r="CU225" s="1279"/>
      <c r="CV225" s="1279"/>
      <c r="CW225" s="1279"/>
      <c r="CX225" s="1279"/>
      <c r="CY225" s="1279"/>
      <c r="CZ225" s="1279"/>
      <c r="DA225" s="1279"/>
      <c r="DB225" s="1279"/>
      <c r="DC225" s="1279"/>
      <c r="DD225" s="1279"/>
      <c r="DE225" s="1279"/>
      <c r="DF225" s="1279"/>
      <c r="DG225" s="1279"/>
      <c r="DH225" s="1279"/>
      <c r="DI225" s="1279"/>
      <c r="DJ225" s="1279"/>
      <c r="DK225" s="1279"/>
      <c r="DL225" s="1279"/>
      <c r="DM225" s="1279"/>
      <c r="DN225" s="1279"/>
      <c r="DO225" s="1279"/>
      <c r="DP225" s="1279"/>
      <c r="DQ225" s="1279"/>
      <c r="DR225" s="1279"/>
      <c r="DS225" s="1279"/>
      <c r="DT225" s="1279"/>
      <c r="DU225" s="1279"/>
      <c r="DV225" s="1279"/>
      <c r="DW225" s="1279"/>
      <c r="DX225" s="1279"/>
      <c r="DY225" s="1279"/>
      <c r="DZ225" s="1279"/>
      <c r="EA225" s="1279"/>
      <c r="EB225" s="1279"/>
      <c r="EC225" s="1279"/>
      <c r="ED225" s="1279"/>
      <c r="EE225" s="1279"/>
      <c r="EF225" s="1279"/>
      <c r="EG225" s="1279"/>
      <c r="EH225" s="1279"/>
      <c r="EI225" s="1279"/>
      <c r="EJ225" s="1279"/>
      <c r="EK225" s="1279"/>
      <c r="EL225" s="1279"/>
      <c r="EM225" s="1279"/>
      <c r="EN225" s="1279"/>
      <c r="EO225" s="1279"/>
    </row>
    <row r="226" spans="51:145" ht="15">
      <c r="AY226" s="1279"/>
      <c r="AZ226" s="1279"/>
      <c r="BA226" s="1279"/>
      <c r="BB226" s="1279"/>
      <c r="BC226" s="1279"/>
      <c r="BD226" s="1279"/>
      <c r="BE226" s="1279"/>
      <c r="BF226" s="1279"/>
      <c r="BG226" s="1279"/>
      <c r="BH226" s="1279"/>
      <c r="BI226" s="1279"/>
      <c r="BJ226" s="1279"/>
      <c r="BK226" s="1279"/>
      <c r="BL226" s="1279"/>
      <c r="BM226" s="1279"/>
      <c r="BN226" s="1279"/>
      <c r="BO226" s="1279"/>
      <c r="BP226" s="1279"/>
      <c r="BQ226" s="1279"/>
      <c r="BR226" s="1279"/>
      <c r="BS226" s="1279"/>
      <c r="BT226" s="1279"/>
      <c r="BU226" s="1279"/>
      <c r="BV226" s="1279"/>
      <c r="BW226" s="1279"/>
      <c r="BX226" s="1279"/>
      <c r="BY226" s="1279"/>
      <c r="BZ226" s="1279"/>
      <c r="CA226" s="1279"/>
      <c r="CB226" s="1279"/>
      <c r="CC226" s="1279"/>
      <c r="CD226" s="1279"/>
      <c r="CE226" s="1279"/>
      <c r="CF226" s="1279"/>
      <c r="CG226" s="1279"/>
      <c r="CH226" s="1279"/>
      <c r="CI226" s="1279"/>
      <c r="CJ226" s="1279"/>
      <c r="CK226" s="1279"/>
      <c r="CL226" s="1279"/>
      <c r="CM226" s="1279"/>
      <c r="CN226" s="1279"/>
      <c r="CO226" s="1279"/>
      <c r="CP226" s="1279"/>
      <c r="CQ226" s="1279"/>
      <c r="CR226" s="1279"/>
      <c r="CS226" s="1279"/>
      <c r="CT226" s="1279"/>
      <c r="CU226" s="1279"/>
      <c r="CV226" s="1279"/>
      <c r="CW226" s="1279"/>
      <c r="CX226" s="1279"/>
      <c r="CY226" s="1279"/>
      <c r="CZ226" s="1279"/>
      <c r="DA226" s="1279"/>
      <c r="DB226" s="1279"/>
      <c r="DC226" s="1279"/>
      <c r="DD226" s="1279"/>
      <c r="DE226" s="1279"/>
      <c r="DF226" s="1279"/>
      <c r="DG226" s="1279"/>
      <c r="DH226" s="1279"/>
      <c r="DI226" s="1279"/>
      <c r="DJ226" s="1279"/>
      <c r="DK226" s="1279"/>
      <c r="DL226" s="1279"/>
      <c r="DM226" s="1279"/>
      <c r="DN226" s="1279"/>
      <c r="DO226" s="1279"/>
      <c r="DP226" s="1279"/>
      <c r="DQ226" s="1279"/>
      <c r="DR226" s="1279"/>
      <c r="DS226" s="1279"/>
      <c r="DT226" s="1279"/>
      <c r="DU226" s="1279"/>
      <c r="DV226" s="1279"/>
      <c r="DW226" s="1279"/>
      <c r="DX226" s="1279"/>
      <c r="DY226" s="1279"/>
      <c r="DZ226" s="1279"/>
      <c r="EA226" s="1279"/>
      <c r="EB226" s="1279"/>
      <c r="EC226" s="1279"/>
      <c r="ED226" s="1279"/>
      <c r="EE226" s="1279"/>
      <c r="EF226" s="1279"/>
      <c r="EG226" s="1279"/>
      <c r="EH226" s="1279"/>
      <c r="EI226" s="1279"/>
      <c r="EJ226" s="1279"/>
      <c r="EK226" s="1279"/>
      <c r="EL226" s="1279"/>
      <c r="EM226" s="1279"/>
      <c r="EN226" s="1279"/>
      <c r="EO226" s="1279"/>
    </row>
    <row r="227" spans="51:145" ht="15">
      <c r="AY227" s="1279"/>
      <c r="AZ227" s="1279"/>
      <c r="BA227" s="1279"/>
      <c r="BB227" s="1279"/>
      <c r="BC227" s="1279"/>
      <c r="BD227" s="1279"/>
      <c r="BE227" s="1279"/>
      <c r="BF227" s="1279"/>
      <c r="BG227" s="1279"/>
      <c r="BH227" s="1279"/>
      <c r="BI227" s="1279"/>
      <c r="BJ227" s="1279"/>
      <c r="BK227" s="1279"/>
      <c r="BL227" s="1279"/>
      <c r="BM227" s="1279"/>
      <c r="BN227" s="1279"/>
      <c r="BO227" s="1279"/>
      <c r="BP227" s="1279"/>
      <c r="BQ227" s="1279"/>
      <c r="BR227" s="1279"/>
      <c r="BS227" s="1279"/>
      <c r="BT227" s="1279"/>
      <c r="BU227" s="1279"/>
      <c r="BV227" s="1279"/>
      <c r="BW227" s="1279"/>
      <c r="BX227" s="1279"/>
      <c r="BY227" s="1279"/>
      <c r="BZ227" s="1279"/>
      <c r="CA227" s="1279"/>
      <c r="CB227" s="1279"/>
      <c r="CC227" s="1279"/>
      <c r="CD227" s="1279"/>
      <c r="CE227" s="1279"/>
      <c r="CF227" s="1279"/>
      <c r="CG227" s="1279"/>
      <c r="CH227" s="1279"/>
      <c r="CI227" s="1279"/>
      <c r="CJ227" s="1279"/>
      <c r="CK227" s="1279"/>
      <c r="CL227" s="1279"/>
      <c r="CM227" s="1279"/>
      <c r="CN227" s="1279"/>
      <c r="CO227" s="1279"/>
      <c r="CP227" s="1279"/>
      <c r="CQ227" s="1279"/>
      <c r="CR227" s="1279"/>
      <c r="CS227" s="1279"/>
      <c r="CT227" s="1279"/>
      <c r="CU227" s="1279"/>
      <c r="CV227" s="1279"/>
      <c r="CW227" s="1279"/>
      <c r="CX227" s="1279"/>
      <c r="CY227" s="1279"/>
      <c r="CZ227" s="1279"/>
      <c r="DA227" s="1279"/>
      <c r="DB227" s="1279"/>
      <c r="DC227" s="1279"/>
      <c r="DD227" s="1279"/>
      <c r="DE227" s="1279"/>
      <c r="DF227" s="1279"/>
      <c r="DG227" s="1279"/>
      <c r="DH227" s="1279"/>
      <c r="DI227" s="1279"/>
      <c r="DJ227" s="1279"/>
      <c r="DK227" s="1279"/>
      <c r="DL227" s="1279"/>
      <c r="DM227" s="1279"/>
      <c r="DN227" s="1279"/>
      <c r="DO227" s="1279"/>
      <c r="DP227" s="1279"/>
      <c r="DQ227" s="1279"/>
      <c r="DR227" s="1279"/>
      <c r="DS227" s="1279"/>
      <c r="DT227" s="1279"/>
      <c r="DU227" s="1279"/>
      <c r="DV227" s="1279"/>
      <c r="DW227" s="1279"/>
      <c r="DX227" s="1279"/>
      <c r="DY227" s="1279"/>
      <c r="DZ227" s="1279"/>
      <c r="EA227" s="1279"/>
      <c r="EB227" s="1279"/>
      <c r="EC227" s="1279"/>
      <c r="ED227" s="1279"/>
      <c r="EE227" s="1279"/>
      <c r="EF227" s="1279"/>
      <c r="EG227" s="1279"/>
      <c r="EH227" s="1279"/>
      <c r="EI227" s="1279"/>
      <c r="EJ227" s="1279"/>
      <c r="EK227" s="1279"/>
      <c r="EL227" s="1279"/>
      <c r="EM227" s="1279"/>
      <c r="EN227" s="1279"/>
      <c r="EO227" s="1279"/>
    </row>
    <row r="228" spans="35:145" ht="15">
      <c r="AI228" s="1322"/>
      <c r="AJ228" s="1358"/>
      <c r="AK228" s="1358"/>
      <c r="AL228" s="1365"/>
      <c r="AM228" s="1365"/>
      <c r="AN228" s="1366"/>
      <c r="AO228" s="1322"/>
      <c r="AP228" s="1322"/>
      <c r="AQ228" s="1366"/>
      <c r="AR228" s="1365"/>
      <c r="AS228" s="1365"/>
      <c r="AT228" s="1365"/>
      <c r="AU228" s="1367"/>
      <c r="AV228" s="1322"/>
      <c r="AW228" s="1322"/>
      <c r="AX228" s="1322"/>
      <c r="AY228" s="1368"/>
      <c r="AZ228" s="1368"/>
      <c r="BA228" s="1368"/>
      <c r="BB228" s="1368"/>
      <c r="BC228" s="1368"/>
      <c r="BD228" s="1368"/>
      <c r="BE228" s="1368"/>
      <c r="BF228" s="1368"/>
      <c r="BG228" s="1368"/>
      <c r="BH228" s="1368"/>
      <c r="BI228" s="1368"/>
      <c r="BJ228" s="1368"/>
      <c r="BK228" s="1368"/>
      <c r="BL228" s="1368"/>
      <c r="BM228" s="1368"/>
      <c r="BN228" s="1368"/>
      <c r="BO228" s="1368"/>
      <c r="BP228" s="1368"/>
      <c r="BQ228" s="1368"/>
      <c r="BR228" s="1368"/>
      <c r="BS228" s="1368"/>
      <c r="BT228" s="1368"/>
      <c r="BU228" s="1368"/>
      <c r="BV228" s="1368"/>
      <c r="BW228" s="1368"/>
      <c r="BX228" s="1368"/>
      <c r="BY228" s="1368"/>
      <c r="BZ228" s="1368"/>
      <c r="CA228" s="1368"/>
      <c r="CB228" s="1368"/>
      <c r="CC228" s="1368"/>
      <c r="CD228" s="1368"/>
      <c r="CE228" s="1368"/>
      <c r="CF228" s="1368"/>
      <c r="CG228" s="1368"/>
      <c r="CH228" s="1368"/>
      <c r="CI228" s="1368"/>
      <c r="CJ228" s="1368"/>
      <c r="CK228" s="1368"/>
      <c r="CL228" s="1368"/>
      <c r="CM228" s="1368"/>
      <c r="CN228" s="1368"/>
      <c r="CO228" s="1368"/>
      <c r="CP228" s="1368"/>
      <c r="CQ228" s="1368"/>
      <c r="CR228" s="1368"/>
      <c r="CS228" s="1368"/>
      <c r="CT228" s="1368"/>
      <c r="CU228" s="1368"/>
      <c r="CV228" s="1368"/>
      <c r="CW228" s="1368"/>
      <c r="CX228" s="1368"/>
      <c r="CY228" s="1368"/>
      <c r="CZ228" s="1368"/>
      <c r="DA228" s="1368"/>
      <c r="DB228" s="1368"/>
      <c r="DC228" s="1368"/>
      <c r="DD228" s="1368"/>
      <c r="DE228" s="1368"/>
      <c r="DF228" s="1368"/>
      <c r="DG228" s="1368"/>
      <c r="DH228" s="1368"/>
      <c r="DI228" s="1368"/>
      <c r="DJ228" s="1368"/>
      <c r="DK228" s="1368"/>
      <c r="DL228" s="1368"/>
      <c r="DM228" s="1368"/>
      <c r="DN228" s="1368"/>
      <c r="DO228" s="1368"/>
      <c r="DP228" s="1368"/>
      <c r="DQ228" s="1368"/>
      <c r="DR228" s="1368"/>
      <c r="DS228" s="1368"/>
      <c r="DT228" s="1368"/>
      <c r="DU228" s="1368"/>
      <c r="DV228" s="1368"/>
      <c r="DW228" s="1368"/>
      <c r="DX228" s="1368"/>
      <c r="DY228" s="1368"/>
      <c r="DZ228" s="1368"/>
      <c r="EA228" s="1368"/>
      <c r="EB228" s="1368"/>
      <c r="EC228" s="1368"/>
      <c r="ED228" s="1368"/>
      <c r="EE228" s="1368"/>
      <c r="EF228" s="1368"/>
      <c r="EG228" s="1368"/>
      <c r="EH228" s="1368"/>
      <c r="EI228" s="1368"/>
      <c r="EJ228" s="1368"/>
      <c r="EK228" s="1368"/>
      <c r="EL228" s="1368"/>
      <c r="EM228" s="1368"/>
      <c r="EN228" s="1279"/>
      <c r="EO228" s="1279"/>
    </row>
    <row r="229" spans="51:145" ht="15">
      <c r="AY229" s="1279"/>
      <c r="AZ229" s="1279"/>
      <c r="BA229" s="1279"/>
      <c r="BB229" s="1279"/>
      <c r="BC229" s="1279"/>
      <c r="BD229" s="1279"/>
      <c r="BE229" s="1279"/>
      <c r="BF229" s="1279"/>
      <c r="BG229" s="1279"/>
      <c r="BH229" s="1279"/>
      <c r="BI229" s="1279"/>
      <c r="BJ229" s="1279"/>
      <c r="BK229" s="1279"/>
      <c r="BL229" s="1279"/>
      <c r="BM229" s="1279"/>
      <c r="BN229" s="1279"/>
      <c r="BO229" s="1279"/>
      <c r="BP229" s="1279"/>
      <c r="BQ229" s="1279"/>
      <c r="BR229" s="1279"/>
      <c r="BS229" s="1279"/>
      <c r="BT229" s="1279"/>
      <c r="BU229" s="1279"/>
      <c r="BV229" s="1279"/>
      <c r="BW229" s="1279"/>
      <c r="BX229" s="1279"/>
      <c r="BY229" s="1279"/>
      <c r="BZ229" s="1279"/>
      <c r="CA229" s="1279"/>
      <c r="CB229" s="1279"/>
      <c r="CC229" s="1279"/>
      <c r="CD229" s="1279"/>
      <c r="CE229" s="1279"/>
      <c r="CF229" s="1279"/>
      <c r="CG229" s="1279"/>
      <c r="CH229" s="1279"/>
      <c r="CI229" s="1279"/>
      <c r="CJ229" s="1279"/>
      <c r="CK229" s="1279"/>
      <c r="CL229" s="1279"/>
      <c r="CM229" s="1279"/>
      <c r="CN229" s="1279"/>
      <c r="CO229" s="1279"/>
      <c r="CP229" s="1279"/>
      <c r="CQ229" s="1279"/>
      <c r="CR229" s="1279"/>
      <c r="CS229" s="1279"/>
      <c r="CT229" s="1279"/>
      <c r="CU229" s="1279"/>
      <c r="CV229" s="1279"/>
      <c r="CW229" s="1279"/>
      <c r="CX229" s="1279"/>
      <c r="CY229" s="1279"/>
      <c r="CZ229" s="1279"/>
      <c r="DA229" s="1279"/>
      <c r="DB229" s="1279"/>
      <c r="DC229" s="1279"/>
      <c r="DD229" s="1279"/>
      <c r="DE229" s="1279"/>
      <c r="DF229" s="1279"/>
      <c r="DG229" s="1279"/>
      <c r="DH229" s="1279"/>
      <c r="DI229" s="1279"/>
      <c r="DJ229" s="1279"/>
      <c r="DK229" s="1279"/>
      <c r="DL229" s="1279"/>
      <c r="DM229" s="1279"/>
      <c r="DN229" s="1279"/>
      <c r="DO229" s="1279"/>
      <c r="DP229" s="1279"/>
      <c r="DQ229" s="1279"/>
      <c r="DR229" s="1279"/>
      <c r="DS229" s="1279"/>
      <c r="DT229" s="1279"/>
      <c r="DU229" s="1279"/>
      <c r="DV229" s="1279"/>
      <c r="DW229" s="1279"/>
      <c r="DX229" s="1279"/>
      <c r="DY229" s="1279"/>
      <c r="DZ229" s="1279"/>
      <c r="EA229" s="1279"/>
      <c r="EB229" s="1279"/>
      <c r="EC229" s="1279"/>
      <c r="ED229" s="1279"/>
      <c r="EE229" s="1279"/>
      <c r="EF229" s="1279"/>
      <c r="EG229" s="1279"/>
      <c r="EH229" s="1279"/>
      <c r="EI229" s="1279"/>
      <c r="EJ229" s="1279"/>
      <c r="EK229" s="1279"/>
      <c r="EL229" s="1279"/>
      <c r="EM229" s="1279"/>
      <c r="EN229" s="1279"/>
      <c r="EO229" s="1279"/>
    </row>
    <row r="230" spans="51:145" ht="15">
      <c r="AY230" s="1279"/>
      <c r="AZ230" s="1279"/>
      <c r="BA230" s="1279"/>
      <c r="BB230" s="1279"/>
      <c r="BC230" s="1279"/>
      <c r="BD230" s="1279"/>
      <c r="BE230" s="1279"/>
      <c r="BF230" s="1279"/>
      <c r="BG230" s="1279"/>
      <c r="BH230" s="1279"/>
      <c r="BI230" s="1279"/>
      <c r="BJ230" s="1279"/>
      <c r="BK230" s="1279"/>
      <c r="BL230" s="1279"/>
      <c r="BM230" s="1279"/>
      <c r="BN230" s="1279"/>
      <c r="BO230" s="1279"/>
      <c r="BP230" s="1279"/>
      <c r="BQ230" s="1279"/>
      <c r="BR230" s="1279"/>
      <c r="BS230" s="1279"/>
      <c r="BT230" s="1279"/>
      <c r="BU230" s="1279"/>
      <c r="BV230" s="1279"/>
      <c r="BW230" s="1279"/>
      <c r="BX230" s="1279"/>
      <c r="BY230" s="1279"/>
      <c r="BZ230" s="1279"/>
      <c r="CA230" s="1279"/>
      <c r="CB230" s="1279"/>
      <c r="CC230" s="1279"/>
      <c r="CD230" s="1279"/>
      <c r="CE230" s="1279"/>
      <c r="CF230" s="1279"/>
      <c r="CG230" s="1279"/>
      <c r="CH230" s="1279"/>
      <c r="CI230" s="1279"/>
      <c r="CJ230" s="1279"/>
      <c r="CK230" s="1279"/>
      <c r="CL230" s="1279"/>
      <c r="CM230" s="1279"/>
      <c r="CN230" s="1279"/>
      <c r="CO230" s="1279"/>
      <c r="CP230" s="1279"/>
      <c r="CQ230" s="1279"/>
      <c r="CR230" s="1279"/>
      <c r="CS230" s="1279"/>
      <c r="CT230" s="1279"/>
      <c r="CU230" s="1279"/>
      <c r="CV230" s="1279"/>
      <c r="CW230" s="1279"/>
      <c r="CX230" s="1279"/>
      <c r="CY230" s="1279"/>
      <c r="CZ230" s="1279"/>
      <c r="DA230" s="1279"/>
      <c r="DB230" s="1279"/>
      <c r="DC230" s="1279"/>
      <c r="DD230" s="1279"/>
      <c r="DE230" s="1279"/>
      <c r="DF230" s="1279"/>
      <c r="DG230" s="1279"/>
      <c r="DH230" s="1279"/>
      <c r="DI230" s="1279"/>
      <c r="DJ230" s="1279"/>
      <c r="DK230" s="1279"/>
      <c r="DL230" s="1279"/>
      <c r="DM230" s="1279"/>
      <c r="DN230" s="1279"/>
      <c r="DO230" s="1279"/>
      <c r="DP230" s="1279"/>
      <c r="DQ230" s="1279"/>
      <c r="DR230" s="1279"/>
      <c r="DS230" s="1279"/>
      <c r="DT230" s="1279"/>
      <c r="DU230" s="1279"/>
      <c r="DV230" s="1279"/>
      <c r="DW230" s="1279"/>
      <c r="DX230" s="1279"/>
      <c r="DY230" s="1279"/>
      <c r="DZ230" s="1279"/>
      <c r="EA230" s="1279"/>
      <c r="EB230" s="1279"/>
      <c r="EC230" s="1279"/>
      <c r="ED230" s="1279"/>
      <c r="EE230" s="1279"/>
      <c r="EF230" s="1279"/>
      <c r="EG230" s="1279"/>
      <c r="EH230" s="1279"/>
      <c r="EI230" s="1279"/>
      <c r="EJ230" s="1279"/>
      <c r="EK230" s="1279"/>
      <c r="EL230" s="1279"/>
      <c r="EM230" s="1279"/>
      <c r="EN230" s="1279"/>
      <c r="EO230" s="1279"/>
    </row>
    <row r="231" spans="51:145" ht="15">
      <c r="AY231" s="1279"/>
      <c r="AZ231" s="1279"/>
      <c r="BA231" s="1279"/>
      <c r="BB231" s="1279"/>
      <c r="BC231" s="1279"/>
      <c r="BD231" s="1279"/>
      <c r="BE231" s="1279"/>
      <c r="BF231" s="1279"/>
      <c r="BG231" s="1279"/>
      <c r="BH231" s="1279"/>
      <c r="BI231" s="1279"/>
      <c r="BJ231" s="1279"/>
      <c r="BK231" s="1279"/>
      <c r="BL231" s="1279"/>
      <c r="BM231" s="1279"/>
      <c r="BN231" s="1279"/>
      <c r="BO231" s="1279"/>
      <c r="BP231" s="1279"/>
      <c r="BQ231" s="1279"/>
      <c r="BR231" s="1279"/>
      <c r="BS231" s="1279"/>
      <c r="BT231" s="1279"/>
      <c r="BU231" s="1279"/>
      <c r="BV231" s="1279"/>
      <c r="BW231" s="1279"/>
      <c r="BX231" s="1279"/>
      <c r="BY231" s="1279"/>
      <c r="BZ231" s="1279"/>
      <c r="CA231" s="1279"/>
      <c r="CB231" s="1279"/>
      <c r="CC231" s="1279"/>
      <c r="CD231" s="1279"/>
      <c r="CE231" s="1279"/>
      <c r="CF231" s="1279"/>
      <c r="CG231" s="1279"/>
      <c r="CH231" s="1279"/>
      <c r="CI231" s="1279"/>
      <c r="CJ231" s="1279"/>
      <c r="CK231" s="1279"/>
      <c r="CL231" s="1279"/>
      <c r="CM231" s="1279"/>
      <c r="CN231" s="1279"/>
      <c r="CO231" s="1279"/>
      <c r="CP231" s="1279"/>
      <c r="CQ231" s="1279"/>
      <c r="CR231" s="1279"/>
      <c r="CS231" s="1279"/>
      <c r="CT231" s="1279"/>
      <c r="CU231" s="1279"/>
      <c r="CV231" s="1279"/>
      <c r="CW231" s="1279"/>
      <c r="CX231" s="1279"/>
      <c r="CY231" s="1279"/>
      <c r="CZ231" s="1279"/>
      <c r="DA231" s="1279"/>
      <c r="DB231" s="1279"/>
      <c r="DC231" s="1279"/>
      <c r="DD231" s="1279"/>
      <c r="DE231" s="1279"/>
      <c r="DF231" s="1279"/>
      <c r="DG231" s="1279"/>
      <c r="DH231" s="1279"/>
      <c r="DI231" s="1279"/>
      <c r="DJ231" s="1279"/>
      <c r="DK231" s="1279"/>
      <c r="DL231" s="1279"/>
      <c r="DM231" s="1279"/>
      <c r="DN231" s="1279"/>
      <c r="DO231" s="1279"/>
      <c r="DP231" s="1279"/>
      <c r="DQ231" s="1279"/>
      <c r="DR231" s="1279"/>
      <c r="DS231" s="1279"/>
      <c r="DT231" s="1279"/>
      <c r="DU231" s="1279"/>
      <c r="DV231" s="1279"/>
      <c r="DW231" s="1279"/>
      <c r="DX231" s="1279"/>
      <c r="DY231" s="1279"/>
      <c r="DZ231" s="1279"/>
      <c r="EA231" s="1279"/>
      <c r="EB231" s="1279"/>
      <c r="EC231" s="1279"/>
      <c r="ED231" s="1279"/>
      <c r="EE231" s="1279"/>
      <c r="EF231" s="1279"/>
      <c r="EG231" s="1279"/>
      <c r="EH231" s="1279"/>
      <c r="EI231" s="1279"/>
      <c r="EJ231" s="1279"/>
      <c r="EK231" s="1279"/>
      <c r="EL231" s="1279"/>
      <c r="EM231" s="1279"/>
      <c r="EN231" s="1279"/>
      <c r="EO231" s="1279"/>
    </row>
    <row r="232" spans="51:145" ht="15">
      <c r="AY232" s="1279"/>
      <c r="AZ232" s="1279"/>
      <c r="BA232" s="1279"/>
      <c r="BB232" s="1279"/>
      <c r="BC232" s="1279"/>
      <c r="BD232" s="1279"/>
      <c r="BE232" s="1279"/>
      <c r="BF232" s="1279"/>
      <c r="BG232" s="1279"/>
      <c r="BH232" s="1279"/>
      <c r="BI232" s="1279"/>
      <c r="BJ232" s="1279"/>
      <c r="BK232" s="1279"/>
      <c r="BL232" s="1279"/>
      <c r="BM232" s="1279"/>
      <c r="BN232" s="1279"/>
      <c r="BO232" s="1279"/>
      <c r="BP232" s="1279"/>
      <c r="BQ232" s="1279"/>
      <c r="BR232" s="1279"/>
      <c r="BS232" s="1279"/>
      <c r="BT232" s="1279"/>
      <c r="BU232" s="1279"/>
      <c r="BV232" s="1279"/>
      <c r="BW232" s="1279"/>
      <c r="BX232" s="1279"/>
      <c r="BY232" s="1279"/>
      <c r="BZ232" s="1279"/>
      <c r="CA232" s="1279"/>
      <c r="CB232" s="1279"/>
      <c r="CC232" s="1279"/>
      <c r="CD232" s="1279"/>
      <c r="CE232" s="1279"/>
      <c r="CF232" s="1279"/>
      <c r="CG232" s="1279"/>
      <c r="CH232" s="1279"/>
      <c r="CI232" s="1279"/>
      <c r="CJ232" s="1279"/>
      <c r="CK232" s="1279"/>
      <c r="CL232" s="1279"/>
      <c r="CM232" s="1279"/>
      <c r="CN232" s="1279"/>
      <c r="CO232" s="1279"/>
      <c r="CP232" s="1279"/>
      <c r="CQ232" s="1279"/>
      <c r="CR232" s="1279"/>
      <c r="CS232" s="1279"/>
      <c r="CT232" s="1279"/>
      <c r="CU232" s="1279"/>
      <c r="CV232" s="1279"/>
      <c r="CW232" s="1279"/>
      <c r="CX232" s="1279"/>
      <c r="CY232" s="1279"/>
      <c r="CZ232" s="1279"/>
      <c r="DA232" s="1279"/>
      <c r="DB232" s="1279"/>
      <c r="DC232" s="1279"/>
      <c r="DD232" s="1279"/>
      <c r="DE232" s="1279"/>
      <c r="DF232" s="1279"/>
      <c r="DG232" s="1279"/>
      <c r="DH232" s="1279"/>
      <c r="DI232" s="1279"/>
      <c r="DJ232" s="1279"/>
      <c r="DK232" s="1279"/>
      <c r="DL232" s="1279"/>
      <c r="DM232" s="1279"/>
      <c r="DN232" s="1279"/>
      <c r="DO232" s="1279"/>
      <c r="DP232" s="1279"/>
      <c r="DQ232" s="1279"/>
      <c r="DR232" s="1279"/>
      <c r="DS232" s="1279"/>
      <c r="DT232" s="1279"/>
      <c r="DU232" s="1279"/>
      <c r="DV232" s="1279"/>
      <c r="DW232" s="1279"/>
      <c r="DX232" s="1279"/>
      <c r="DY232" s="1279"/>
      <c r="DZ232" s="1279"/>
      <c r="EA232" s="1279"/>
      <c r="EB232" s="1279"/>
      <c r="EC232" s="1279"/>
      <c r="ED232" s="1279"/>
      <c r="EE232" s="1279"/>
      <c r="EF232" s="1279"/>
      <c r="EG232" s="1279"/>
      <c r="EH232" s="1279"/>
      <c r="EI232" s="1279"/>
      <c r="EJ232" s="1279"/>
      <c r="EK232" s="1279"/>
      <c r="EL232" s="1279"/>
      <c r="EM232" s="1279"/>
      <c r="EN232" s="1279"/>
      <c r="EO232" s="1279"/>
    </row>
    <row r="233" spans="1:145" s="1322" customFormat="1" ht="15">
      <c r="A233" s="1253"/>
      <c r="B233" s="1052"/>
      <c r="C233" s="875"/>
      <c r="D233" s="875"/>
      <c r="E233" s="1001"/>
      <c r="F233" s="1001"/>
      <c r="G233" s="1003"/>
      <c r="H233" s="1003"/>
      <c r="I233" s="1315"/>
      <c r="J233" s="1315"/>
      <c r="K233" s="1315"/>
      <c r="L233" s="1315"/>
      <c r="M233" s="1315"/>
      <c r="N233" s="1360"/>
      <c r="O233" s="1360"/>
      <c r="R233" s="1304"/>
      <c r="X233" s="1359"/>
      <c r="Y233" s="1359"/>
      <c r="Z233" s="1359"/>
      <c r="AA233" s="1359"/>
      <c r="AB233" s="1359"/>
      <c r="AC233" s="1359"/>
      <c r="AD233" s="1359"/>
      <c r="AE233" s="1359"/>
      <c r="AF233" s="1359"/>
      <c r="AG233" s="1359"/>
      <c r="AH233" s="1359"/>
      <c r="AI233" s="875"/>
      <c r="AJ233" s="1253"/>
      <c r="AK233" s="1253"/>
      <c r="AL233" s="1300"/>
      <c r="AM233" s="1300"/>
      <c r="AN233" s="1302"/>
      <c r="AO233" s="875"/>
      <c r="AP233" s="875"/>
      <c r="AQ233" s="1302"/>
      <c r="AR233" s="1300"/>
      <c r="AS233" s="1300"/>
      <c r="AT233" s="1300"/>
      <c r="AU233" s="1304"/>
      <c r="AV233" s="875"/>
      <c r="AW233" s="875"/>
      <c r="AX233" s="875"/>
      <c r="AY233" s="1279"/>
      <c r="AZ233" s="1279"/>
      <c r="BA233" s="1279"/>
      <c r="BB233" s="1279"/>
      <c r="BC233" s="1279"/>
      <c r="BD233" s="1279"/>
      <c r="BE233" s="1279"/>
      <c r="BF233" s="1279"/>
      <c r="BG233" s="1279"/>
      <c r="BH233" s="1279"/>
      <c r="BI233" s="1279"/>
      <c r="BJ233" s="1279"/>
      <c r="BK233" s="1279"/>
      <c r="BL233" s="1279"/>
      <c r="BM233" s="1279"/>
      <c r="BN233" s="1279"/>
      <c r="BO233" s="1279"/>
      <c r="BP233" s="1279"/>
      <c r="BQ233" s="1279"/>
      <c r="BR233" s="1279"/>
      <c r="BS233" s="1279"/>
      <c r="BT233" s="1279"/>
      <c r="BU233" s="1279"/>
      <c r="BV233" s="1279"/>
      <c r="BW233" s="1279"/>
      <c r="BX233" s="1279"/>
      <c r="BY233" s="1279"/>
      <c r="BZ233" s="1279"/>
      <c r="CA233" s="1279"/>
      <c r="CB233" s="1279"/>
      <c r="CC233" s="1279"/>
      <c r="CD233" s="1279"/>
      <c r="CE233" s="1279"/>
      <c r="CF233" s="1279"/>
      <c r="CG233" s="1279"/>
      <c r="CH233" s="1279"/>
      <c r="CI233" s="1279"/>
      <c r="CJ233" s="1279"/>
      <c r="CK233" s="1279"/>
      <c r="CL233" s="1279"/>
      <c r="CM233" s="1279"/>
      <c r="CN233" s="1279"/>
      <c r="CO233" s="1279"/>
      <c r="CP233" s="1279"/>
      <c r="CQ233" s="1279"/>
      <c r="CR233" s="1279"/>
      <c r="CS233" s="1279"/>
      <c r="CT233" s="1279"/>
      <c r="CU233" s="1279"/>
      <c r="CV233" s="1279"/>
      <c r="CW233" s="1279"/>
      <c r="CX233" s="1279"/>
      <c r="CY233" s="1279"/>
      <c r="CZ233" s="1279"/>
      <c r="DA233" s="1279"/>
      <c r="DB233" s="1279"/>
      <c r="DC233" s="1279"/>
      <c r="DD233" s="1279"/>
      <c r="DE233" s="1279"/>
      <c r="DF233" s="1279"/>
      <c r="DG233" s="1279"/>
      <c r="DH233" s="1279"/>
      <c r="DI233" s="1279"/>
      <c r="DJ233" s="1279"/>
      <c r="DK233" s="1279"/>
      <c r="DL233" s="1279"/>
      <c r="DM233" s="1279"/>
      <c r="DN233" s="1279"/>
      <c r="DO233" s="1279"/>
      <c r="DP233" s="1279"/>
      <c r="DQ233" s="1279"/>
      <c r="DR233" s="1279"/>
      <c r="DS233" s="1279"/>
      <c r="DT233" s="1279"/>
      <c r="DU233" s="1279"/>
      <c r="DV233" s="1279"/>
      <c r="DW233" s="1279"/>
      <c r="DX233" s="1279"/>
      <c r="DY233" s="1279"/>
      <c r="DZ233" s="1279"/>
      <c r="EA233" s="1279"/>
      <c r="EB233" s="1279"/>
      <c r="EC233" s="1279"/>
      <c r="ED233" s="1279"/>
      <c r="EE233" s="1279"/>
      <c r="EF233" s="1279"/>
      <c r="EG233" s="1279"/>
      <c r="EH233" s="1279"/>
      <c r="EI233" s="1279"/>
      <c r="EJ233" s="1279"/>
      <c r="EK233" s="1279"/>
      <c r="EL233" s="1279"/>
      <c r="EM233" s="1279"/>
      <c r="EN233" s="1368"/>
      <c r="EO233" s="1368"/>
    </row>
  </sheetData>
  <sheetProtection password="E9DA"/>
  <printOptions/>
  <pageMargins left="0.83" right="0.28" top="1.14" bottom="0.63" header="0.34" footer="0.2"/>
  <pageSetup cellComments="atEnd" fitToHeight="0" fitToWidth="1" horizontalDpi="600" verticalDpi="600" orientation="landscape" scale="44" r:id="rId2"/>
  <headerFooter alignWithMargins="0">
    <oddHeader xml:space="preserve">&amp;C&amp;"Palatino,Bold"&amp;18Master Plan for Education Technology
 Budget
FY 2013 - 2018 (DRAFT)
&amp;R&amp;"Palatino,Bold"&amp;P    </oddHeader>
    <oddFooter>&amp;CPage &amp;P&amp;R&amp;F</oddFooter>
  </headerFooter>
  <rowBreaks count="2" manualBreakCount="2">
    <brk id="56" max="255" man="1"/>
    <brk id="140"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EJ281"/>
  <sheetViews>
    <sheetView zoomScale="60" zoomScaleNormal="60" zoomScaleSheetLayoutView="85" zoomScalePageLayoutView="0" workbookViewId="0" topLeftCell="A1">
      <pane xSplit="1" ySplit="1" topLeftCell="B109" activePane="bottomRight" state="frozen"/>
      <selection pane="topLeft" activeCell="A1" sqref="A1"/>
      <selection pane="topRight" activeCell="B1" sqref="B1"/>
      <selection pane="bottomLeft" activeCell="A2" sqref="A2"/>
      <selection pane="bottomRight" activeCell="J239" sqref="J239"/>
    </sheetView>
  </sheetViews>
  <sheetFormatPr defaultColWidth="9.140625" defaultRowHeight="12.75"/>
  <cols>
    <col min="1" max="1" width="41.28125" style="595" customWidth="1"/>
    <col min="2" max="2" width="30.00390625" style="595" customWidth="1"/>
    <col min="3" max="3" width="30.7109375" style="595" customWidth="1"/>
    <col min="4" max="5" width="15.00390625" style="595" customWidth="1"/>
    <col min="6" max="6" width="14.28125" style="544" customWidth="1"/>
    <col min="7" max="7" width="12.421875" style="584" bestFit="1" customWidth="1"/>
    <col min="8" max="8" width="15.7109375" style="605" customWidth="1"/>
    <col min="9" max="9" width="15.7109375" style="650" customWidth="1"/>
    <col min="10" max="10" width="20.8515625" style="650" bestFit="1" customWidth="1"/>
    <col min="11" max="11" width="5.28125" style="752" customWidth="1"/>
    <col min="12" max="12" width="16.7109375" style="752" hidden="1" customWidth="1"/>
    <col min="13" max="14" width="22.421875" style="653" hidden="1" customWidth="1"/>
    <col min="15" max="15" width="12.140625" style="598" customWidth="1"/>
    <col min="16" max="16" width="21.140625" style="653" hidden="1" customWidth="1"/>
    <col min="17" max="17" width="14.57421875" style="653" hidden="1" customWidth="1"/>
    <col min="18" max="18" width="16.140625" style="653" hidden="1" customWidth="1"/>
    <col min="19" max="19" width="15.140625" style="653" hidden="1" customWidth="1"/>
    <col min="20" max="20" width="17.140625" style="653" hidden="1" customWidth="1"/>
    <col min="21" max="21" width="13.140625" style="753" hidden="1" customWidth="1"/>
    <col min="22" max="23" width="17.00390625" style="753" hidden="1" customWidth="1"/>
    <col min="24" max="24" width="14.8515625" style="753" hidden="1" customWidth="1"/>
    <col min="25" max="25" width="13.140625" style="753" hidden="1" customWidth="1"/>
    <col min="26" max="26" width="14.8515625" style="753" hidden="1" customWidth="1"/>
    <col min="27" max="27" width="15.140625" style="753" hidden="1" customWidth="1"/>
    <col min="28" max="31" width="13.140625" style="753" hidden="1" customWidth="1"/>
    <col min="32" max="32" width="2.00390625" style="594" customWidth="1"/>
    <col min="33" max="33" width="48.8515625" style="595" customWidth="1"/>
    <col min="34" max="35" width="30.7109375" style="595" customWidth="1"/>
    <col min="36" max="37" width="14.7109375" style="595" customWidth="1"/>
    <col min="38" max="38" width="14.7109375" style="596" bestFit="1" customWidth="1"/>
    <col min="39" max="39" width="10.57421875" style="597" bestFit="1" customWidth="1"/>
    <col min="40" max="41" width="0" style="544" hidden="1" customWidth="1"/>
    <col min="42" max="42" width="18.421875" style="596" customWidth="1"/>
    <col min="43" max="43" width="5.8515625" style="598" customWidth="1"/>
    <col min="44" max="46" width="0" style="544" hidden="1" customWidth="1"/>
    <col min="47" max="16384" width="9.140625" style="544" customWidth="1"/>
  </cols>
  <sheetData>
    <row r="1" spans="1:140" ht="59.25" customHeight="1" thickBot="1">
      <c r="A1" s="534" t="s">
        <v>853</v>
      </c>
      <c r="B1" s="535" t="s">
        <v>935</v>
      </c>
      <c r="C1" s="535" t="s">
        <v>946</v>
      </c>
      <c r="D1" s="535" t="s">
        <v>936</v>
      </c>
      <c r="E1" s="535" t="s">
        <v>937</v>
      </c>
      <c r="F1" s="535" t="s">
        <v>4</v>
      </c>
      <c r="G1" s="536" t="s">
        <v>5</v>
      </c>
      <c r="H1" s="537" t="s">
        <v>6</v>
      </c>
      <c r="I1" s="538" t="s">
        <v>7</v>
      </c>
      <c r="J1" s="538" t="s">
        <v>8</v>
      </c>
      <c r="K1" s="539" t="s">
        <v>9</v>
      </c>
      <c r="L1" s="540" t="s">
        <v>10</v>
      </c>
      <c r="M1" s="541" t="s">
        <v>11</v>
      </c>
      <c r="N1" s="541" t="s">
        <v>12</v>
      </c>
      <c r="O1" s="535" t="s">
        <v>13</v>
      </c>
      <c r="P1" s="541" t="s">
        <v>127</v>
      </c>
      <c r="Q1" s="541" t="s">
        <v>128</v>
      </c>
      <c r="R1" s="541" t="s">
        <v>129</v>
      </c>
      <c r="S1" s="541" t="s">
        <v>130</v>
      </c>
      <c r="T1" s="541" t="s">
        <v>131</v>
      </c>
      <c r="U1" s="542" t="s">
        <v>132</v>
      </c>
      <c r="V1" s="541" t="s">
        <v>127</v>
      </c>
      <c r="W1" s="541" t="s">
        <v>128</v>
      </c>
      <c r="X1" s="541" t="s">
        <v>129</v>
      </c>
      <c r="Y1" s="541" t="s">
        <v>130</v>
      </c>
      <c r="Z1" s="541" t="s">
        <v>131</v>
      </c>
      <c r="AA1" s="541" t="s">
        <v>127</v>
      </c>
      <c r="AB1" s="541" t="s">
        <v>128</v>
      </c>
      <c r="AC1" s="541" t="s">
        <v>129</v>
      </c>
      <c r="AD1" s="541" t="s">
        <v>130</v>
      </c>
      <c r="AE1" s="541" t="s">
        <v>131</v>
      </c>
      <c r="AF1" s="543"/>
      <c r="AG1" s="822"/>
      <c r="AH1" s="807"/>
      <c r="AI1" s="807"/>
      <c r="AJ1" s="807"/>
      <c r="AK1" s="807"/>
      <c r="AL1" s="823"/>
      <c r="AM1" s="824"/>
      <c r="AN1" s="825"/>
      <c r="AO1" s="826"/>
      <c r="AP1" s="826"/>
      <c r="AQ1" s="827"/>
      <c r="AR1" s="828"/>
      <c r="AS1" s="829"/>
      <c r="AT1" s="829"/>
      <c r="AU1" s="807"/>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581"/>
      <c r="DK1" s="581"/>
      <c r="DL1" s="581"/>
      <c r="DM1" s="581"/>
      <c r="DN1" s="581"/>
      <c r="DO1" s="581"/>
      <c r="DP1" s="581"/>
      <c r="DQ1" s="581"/>
      <c r="DR1" s="581"/>
      <c r="DS1" s="581"/>
      <c r="DT1" s="581"/>
      <c r="DU1" s="581"/>
      <c r="DV1" s="581"/>
      <c r="DW1" s="581"/>
      <c r="DX1" s="581"/>
      <c r="DY1" s="581"/>
      <c r="DZ1" s="581"/>
      <c r="EA1" s="581"/>
      <c r="EB1" s="581"/>
      <c r="EC1" s="581"/>
      <c r="ED1" s="581"/>
      <c r="EE1" s="581"/>
      <c r="EF1" s="581"/>
      <c r="EG1" s="581"/>
      <c r="EH1" s="581"/>
      <c r="EI1" s="581"/>
      <c r="EJ1" s="581"/>
    </row>
    <row r="2" spans="1:140" s="556" customFormat="1" ht="54" thickBot="1" thickTop="1">
      <c r="A2" s="545" t="s">
        <v>14</v>
      </c>
      <c r="B2" s="545"/>
      <c r="C2" s="545"/>
      <c r="D2" s="545"/>
      <c r="E2" s="545"/>
      <c r="F2" s="546"/>
      <c r="G2" s="547"/>
      <c r="H2" s="548"/>
      <c r="I2" s="549"/>
      <c r="J2" s="549"/>
      <c r="K2" s="550"/>
      <c r="L2" s="550"/>
      <c r="M2" s="551"/>
      <c r="N2" s="551"/>
      <c r="O2" s="552"/>
      <c r="P2" s="553"/>
      <c r="Q2" s="553"/>
      <c r="R2" s="553"/>
      <c r="S2" s="553"/>
      <c r="T2" s="553"/>
      <c r="U2" s="554"/>
      <c r="V2" s="554"/>
      <c r="W2" s="554"/>
      <c r="X2" s="554"/>
      <c r="Y2" s="554"/>
      <c r="Z2" s="554"/>
      <c r="AA2" s="554"/>
      <c r="AB2" s="554" t="s">
        <v>25</v>
      </c>
      <c r="AC2" s="554"/>
      <c r="AD2" s="554"/>
      <c r="AE2" s="554"/>
      <c r="AF2" s="555"/>
      <c r="AG2" s="578"/>
      <c r="AH2" s="578"/>
      <c r="AI2" s="578"/>
      <c r="AJ2" s="578"/>
      <c r="AK2" s="578"/>
      <c r="AL2" s="579"/>
      <c r="AM2" s="580"/>
      <c r="AN2" s="581"/>
      <c r="AO2" s="581"/>
      <c r="AP2" s="579"/>
      <c r="AQ2" s="582"/>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581"/>
      <c r="CB2" s="581"/>
      <c r="CC2" s="581"/>
      <c r="CD2" s="581"/>
      <c r="CE2" s="581"/>
      <c r="CF2" s="581"/>
      <c r="CG2" s="581"/>
      <c r="CH2" s="581"/>
      <c r="CI2" s="581"/>
      <c r="CJ2" s="581"/>
      <c r="CK2" s="581"/>
      <c r="CL2" s="581"/>
      <c r="CM2" s="581"/>
      <c r="CN2" s="581"/>
      <c r="CO2" s="581"/>
      <c r="CP2" s="581"/>
      <c r="CQ2" s="581"/>
      <c r="CR2" s="581"/>
      <c r="CS2" s="581"/>
      <c r="CT2" s="581"/>
      <c r="CU2" s="581"/>
      <c r="CV2" s="581"/>
      <c r="CW2" s="581"/>
      <c r="CX2" s="581"/>
      <c r="CY2" s="581"/>
      <c r="CZ2" s="581"/>
      <c r="DA2" s="581"/>
      <c r="DB2" s="581"/>
      <c r="DC2" s="581"/>
      <c r="DD2" s="581"/>
      <c r="DE2" s="581"/>
      <c r="DF2" s="581"/>
      <c r="DG2" s="581"/>
      <c r="DH2" s="581"/>
      <c r="DI2" s="581"/>
      <c r="DJ2" s="581"/>
      <c r="DK2" s="581"/>
      <c r="DL2" s="581"/>
      <c r="DM2" s="581"/>
      <c r="DN2" s="581"/>
      <c r="DO2" s="581"/>
      <c r="DP2" s="581"/>
      <c r="DQ2" s="581"/>
      <c r="DR2" s="581"/>
      <c r="DS2" s="581"/>
      <c r="DT2" s="581"/>
      <c r="DU2" s="581"/>
      <c r="DV2" s="581"/>
      <c r="DW2" s="581"/>
      <c r="DX2" s="581"/>
      <c r="DY2" s="581"/>
      <c r="DZ2" s="581"/>
      <c r="EA2" s="581"/>
      <c r="EB2" s="581"/>
      <c r="EC2" s="581"/>
      <c r="ED2" s="581"/>
      <c r="EE2" s="581"/>
      <c r="EF2" s="581"/>
      <c r="EG2" s="581"/>
      <c r="EH2" s="581"/>
      <c r="EI2" s="581"/>
      <c r="EJ2" s="581"/>
    </row>
    <row r="3" spans="1:140" s="567" customFormat="1" ht="32.25" thickTop="1">
      <c r="A3" s="557" t="s">
        <v>927</v>
      </c>
      <c r="B3" s="557"/>
      <c r="C3" s="557"/>
      <c r="D3" s="557"/>
      <c r="E3" s="557"/>
      <c r="F3" s="558"/>
      <c r="G3" s="559"/>
      <c r="H3" s="560"/>
      <c r="I3" s="561"/>
      <c r="J3" s="561"/>
      <c r="K3" s="562"/>
      <c r="L3" s="562"/>
      <c r="M3" s="563"/>
      <c r="N3" s="563"/>
      <c r="O3" s="564"/>
      <c r="P3" s="563"/>
      <c r="Q3" s="563"/>
      <c r="R3" s="563"/>
      <c r="S3" s="563"/>
      <c r="T3" s="563"/>
      <c r="U3" s="565"/>
      <c r="V3" s="565"/>
      <c r="W3" s="565"/>
      <c r="X3" s="565"/>
      <c r="Y3" s="565"/>
      <c r="Z3" s="565"/>
      <c r="AA3" s="565"/>
      <c r="AB3" s="565"/>
      <c r="AC3" s="565"/>
      <c r="AD3" s="565"/>
      <c r="AE3" s="565"/>
      <c r="AF3" s="566"/>
      <c r="AG3" s="578"/>
      <c r="AH3" s="578"/>
      <c r="AI3" s="578"/>
      <c r="AJ3" s="578"/>
      <c r="AK3" s="578"/>
      <c r="AL3" s="579"/>
      <c r="AM3" s="580"/>
      <c r="AN3" s="581"/>
      <c r="AO3" s="581"/>
      <c r="AP3" s="579"/>
      <c r="AQ3" s="582"/>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row>
    <row r="4" spans="1:43" s="581" customFormat="1" ht="20.25">
      <c r="A4" s="568" t="s">
        <v>16</v>
      </c>
      <c r="B4" s="568"/>
      <c r="C4" s="568"/>
      <c r="D4" s="568"/>
      <c r="E4" s="568"/>
      <c r="F4" s="569"/>
      <c r="G4" s="570"/>
      <c r="H4" s="571"/>
      <c r="I4" s="572"/>
      <c r="J4" s="572"/>
      <c r="K4" s="573"/>
      <c r="L4" s="573"/>
      <c r="M4" s="574"/>
      <c r="N4" s="574"/>
      <c r="O4" s="575"/>
      <c r="P4" s="574"/>
      <c r="Q4" s="574"/>
      <c r="R4" s="574"/>
      <c r="S4" s="574"/>
      <c r="T4" s="574"/>
      <c r="U4" s="576"/>
      <c r="V4" s="576"/>
      <c r="W4" s="576"/>
      <c r="X4" s="576"/>
      <c r="Y4" s="576"/>
      <c r="Z4" s="576"/>
      <c r="AA4" s="576"/>
      <c r="AB4" s="576"/>
      <c r="AC4" s="576"/>
      <c r="AD4" s="576"/>
      <c r="AE4" s="576"/>
      <c r="AF4" s="577"/>
      <c r="AG4" s="578"/>
      <c r="AH4" s="578"/>
      <c r="AI4" s="578"/>
      <c r="AJ4" s="578"/>
      <c r="AK4" s="578"/>
      <c r="AL4" s="579"/>
      <c r="AM4" s="580"/>
      <c r="AP4" s="579"/>
      <c r="AQ4" s="582"/>
    </row>
    <row r="5" spans="1:140" ht="105">
      <c r="A5" s="600" t="s">
        <v>855</v>
      </c>
      <c r="B5" s="758" t="s">
        <v>952</v>
      </c>
      <c r="C5" s="842" t="s">
        <v>951</v>
      </c>
      <c r="D5" s="600">
        <v>6</v>
      </c>
      <c r="E5" s="600" t="s">
        <v>348</v>
      </c>
      <c r="F5" s="583">
        <f>Hardware!E12</f>
        <v>673.90625</v>
      </c>
      <c r="G5" s="584">
        <f>'Reference Data'!$E$36</f>
        <v>197725.68766666666</v>
      </c>
      <c r="H5" s="585">
        <f>Hardware!B21*G5</f>
        <v>23649920.070388082</v>
      </c>
      <c r="I5" s="586">
        <f>J5/G5</f>
        <v>112.31770833333333</v>
      </c>
      <c r="J5" s="587">
        <f>M5/BudgetYears</f>
        <v>22208096.11735243</v>
      </c>
      <c r="K5" s="588">
        <v>6</v>
      </c>
      <c r="L5" s="589">
        <v>0</v>
      </c>
      <c r="M5" s="590">
        <f>(F5*G5)*(BudgetYears/K5)</f>
        <v>133248576.70411459</v>
      </c>
      <c r="N5" s="590">
        <f>(M5)-(L5*3)</f>
        <v>133248576.70411459</v>
      </c>
      <c r="O5" s="591" t="s">
        <v>18</v>
      </c>
      <c r="P5" s="590">
        <f>IF($O5="S/L or L",$M5,0)</f>
        <v>133248576.70411459</v>
      </c>
      <c r="Q5" s="590">
        <f>IF($O5="L",$M5,0)</f>
        <v>0</v>
      </c>
      <c r="R5" s="590">
        <f>IF($O5="S",$M5,0)</f>
        <v>0</v>
      </c>
      <c r="S5" s="590">
        <f>IF($O5="F",$M5,0)</f>
        <v>0</v>
      </c>
      <c r="T5" s="590">
        <f>SUM(P5:S5)</f>
        <v>133248576.70411459</v>
      </c>
      <c r="U5" s="592" t="s">
        <v>133</v>
      </c>
      <c r="V5" s="590">
        <f>IF($O5="S/L or L",$J5,0)</f>
        <v>22208096.11735243</v>
      </c>
      <c r="W5" s="590">
        <f>IF($O5="L",$J5,0)</f>
        <v>0</v>
      </c>
      <c r="X5" s="590">
        <f>IF($O5="S",$J5,0)</f>
        <v>0</v>
      </c>
      <c r="Y5" s="590">
        <f>IF($O5="F",$J5,0)</f>
        <v>0</v>
      </c>
      <c r="Z5" s="593">
        <f>SUM(V5:Y5)</f>
        <v>22208096.11735243</v>
      </c>
      <c r="AA5" s="590">
        <f>IF($O5="S/L or L",$L5,0)</f>
        <v>0</v>
      </c>
      <c r="AB5" s="590">
        <f>IF($O5="L",$L5,0)</f>
        <v>0</v>
      </c>
      <c r="AC5" s="590">
        <f>IF($O5="S",$L5,0)</f>
        <v>0</v>
      </c>
      <c r="AD5" s="590">
        <f>IF($O5="F",$L5,0)</f>
        <v>0</v>
      </c>
      <c r="AE5" s="593">
        <f>SUM(AA5:AD5)</f>
        <v>0</v>
      </c>
      <c r="AG5" s="578"/>
      <c r="AH5" s="578"/>
      <c r="AI5" s="578"/>
      <c r="AJ5" s="578"/>
      <c r="AK5" s="578"/>
      <c r="AL5" s="579"/>
      <c r="AM5" s="580"/>
      <c r="AN5" s="581"/>
      <c r="AO5" s="581"/>
      <c r="AP5" s="579"/>
      <c r="AQ5" s="582"/>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O5" s="581"/>
      <c r="BP5" s="581"/>
      <c r="BQ5" s="581"/>
      <c r="BR5" s="581"/>
      <c r="BS5" s="581"/>
      <c r="BT5" s="581"/>
      <c r="BU5" s="581"/>
      <c r="BV5" s="581"/>
      <c r="BW5" s="581"/>
      <c r="BX5" s="581"/>
      <c r="BY5" s="581"/>
      <c r="BZ5" s="581"/>
      <c r="CA5" s="581"/>
      <c r="CB5" s="581"/>
      <c r="CC5" s="581"/>
      <c r="CD5" s="581"/>
      <c r="CE5" s="581"/>
      <c r="CF5" s="581"/>
      <c r="CG5" s="581"/>
      <c r="CH5" s="581"/>
      <c r="CI5" s="581"/>
      <c r="CJ5" s="581"/>
      <c r="CK5" s="581"/>
      <c r="CL5" s="581"/>
      <c r="CM5" s="581"/>
      <c r="CN5" s="581"/>
      <c r="CO5" s="581"/>
      <c r="CP5" s="581"/>
      <c r="CQ5" s="581"/>
      <c r="CR5" s="581"/>
      <c r="CS5" s="581"/>
      <c r="CT5" s="581"/>
      <c r="CU5" s="581"/>
      <c r="CV5" s="581"/>
      <c r="CW5" s="581"/>
      <c r="CX5" s="581"/>
      <c r="CY5" s="581"/>
      <c r="CZ5" s="581"/>
      <c r="DA5" s="581"/>
      <c r="DB5" s="581"/>
      <c r="DC5" s="581"/>
      <c r="DD5" s="581"/>
      <c r="DE5" s="581"/>
      <c r="DF5" s="581"/>
      <c r="DG5" s="581"/>
      <c r="DH5" s="581"/>
      <c r="DI5" s="581"/>
      <c r="DJ5" s="581"/>
      <c r="DK5" s="581"/>
      <c r="DL5" s="581"/>
      <c r="DM5" s="581"/>
      <c r="DN5" s="581"/>
      <c r="DO5" s="581"/>
      <c r="DP5" s="581"/>
      <c r="DQ5" s="581"/>
      <c r="DR5" s="581"/>
      <c r="DS5" s="581"/>
      <c r="DT5" s="581"/>
      <c r="DU5" s="581"/>
      <c r="DV5" s="581"/>
      <c r="DW5" s="581"/>
      <c r="DX5" s="581"/>
      <c r="DY5" s="581"/>
      <c r="DZ5" s="581"/>
      <c r="EA5" s="581"/>
      <c r="EB5" s="581"/>
      <c r="EC5" s="581"/>
      <c r="ED5" s="581"/>
      <c r="EE5" s="581"/>
      <c r="EF5" s="581"/>
      <c r="EG5" s="581"/>
      <c r="EH5" s="581"/>
      <c r="EI5" s="581"/>
      <c r="EJ5" s="581"/>
    </row>
    <row r="6" spans="1:140" s="603" customFormat="1" ht="15.75">
      <c r="A6" s="600"/>
      <c r="B6" s="600"/>
      <c r="C6" s="600"/>
      <c r="D6" s="600"/>
      <c r="E6" s="600"/>
      <c r="F6" s="583"/>
      <c r="G6" s="584"/>
      <c r="H6" s="587"/>
      <c r="I6" s="586"/>
      <c r="J6" s="587"/>
      <c r="K6" s="588"/>
      <c r="L6" s="589"/>
      <c r="M6" s="590"/>
      <c r="N6" s="590"/>
      <c r="O6" s="591"/>
      <c r="P6" s="590"/>
      <c r="Q6" s="590"/>
      <c r="R6" s="590"/>
      <c r="S6" s="590"/>
      <c r="T6" s="590"/>
      <c r="U6" s="592"/>
      <c r="V6" s="590"/>
      <c r="W6" s="590"/>
      <c r="X6" s="590"/>
      <c r="Y6" s="590"/>
      <c r="Z6" s="593"/>
      <c r="AA6" s="590"/>
      <c r="AB6" s="590"/>
      <c r="AC6" s="590"/>
      <c r="AD6" s="590"/>
      <c r="AE6" s="593"/>
      <c r="AF6" s="599"/>
      <c r="AG6" s="758"/>
      <c r="AH6" s="758"/>
      <c r="AI6" s="759"/>
      <c r="AJ6" s="758"/>
      <c r="AK6" s="758"/>
      <c r="AL6" s="734"/>
      <c r="AM6" s="800"/>
      <c r="AN6" s="569"/>
      <c r="AO6" s="569"/>
      <c r="AP6" s="734"/>
      <c r="AQ6" s="575"/>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c r="DY6" s="569"/>
      <c r="DZ6" s="569"/>
      <c r="EA6" s="569"/>
      <c r="EB6" s="569"/>
      <c r="EC6" s="569"/>
      <c r="ED6" s="569"/>
      <c r="EE6" s="569"/>
      <c r="EF6" s="569"/>
      <c r="EG6" s="569"/>
      <c r="EH6" s="569"/>
      <c r="EI6" s="569"/>
      <c r="EJ6" s="569"/>
    </row>
    <row r="7" spans="1:140" ht="90">
      <c r="A7" s="600" t="s">
        <v>19</v>
      </c>
      <c r="B7" s="763" t="s">
        <v>938</v>
      </c>
      <c r="C7" s="600"/>
      <c r="D7" s="600">
        <v>6</v>
      </c>
      <c r="E7" s="600" t="s">
        <v>947</v>
      </c>
      <c r="F7" s="583">
        <v>1366</v>
      </c>
      <c r="G7" s="584">
        <f>IEP/D7</f>
        <v>17061.666666666668</v>
      </c>
      <c r="H7" s="585">
        <f>((F7*G7)*0.5)/K7</f>
        <v>1942186.388888889</v>
      </c>
      <c r="I7" s="586">
        <f>J7/G7</f>
        <v>227.66666666666666</v>
      </c>
      <c r="J7" s="587">
        <f>M7/BudgetYears</f>
        <v>3884372.777777778</v>
      </c>
      <c r="K7" s="588">
        <v>6</v>
      </c>
      <c r="L7" s="589">
        <v>0</v>
      </c>
      <c r="M7" s="590">
        <f>(F7*G7)*(BudgetYears/K7)</f>
        <v>23306236.666666668</v>
      </c>
      <c r="N7" s="590">
        <f>(M7)-(L7*3)</f>
        <v>23306236.666666668</v>
      </c>
      <c r="O7" s="591" t="s">
        <v>18</v>
      </c>
      <c r="P7" s="590">
        <f>IF($O7="S/L or L",$M7,0)</f>
        <v>23306236.666666668</v>
      </c>
      <c r="Q7" s="590">
        <f>IF($O7="L",$M7,0)</f>
        <v>0</v>
      </c>
      <c r="R7" s="590">
        <f>IF($O7="S",$M7,0)</f>
        <v>0</v>
      </c>
      <c r="S7" s="590">
        <f>IF($O7="F",$M7,0)</f>
        <v>0</v>
      </c>
      <c r="T7" s="590">
        <f>SUM(P7:S7)</f>
        <v>23306236.666666668</v>
      </c>
      <c r="U7" s="592" t="s">
        <v>25</v>
      </c>
      <c r="V7" s="590">
        <f>IF($O7="S/L or L",$J7,0)</f>
        <v>3884372.777777778</v>
      </c>
      <c r="W7" s="590">
        <f>IF($O7="L",$J7,0)</f>
        <v>0</v>
      </c>
      <c r="X7" s="590">
        <f>IF($O7="S",$J7,0)</f>
        <v>0</v>
      </c>
      <c r="Y7" s="590">
        <f>IF($O7="F",$J7,0)</f>
        <v>0</v>
      </c>
      <c r="Z7" s="593">
        <f>SUM(V7:Y7)</f>
        <v>3884372.777777778</v>
      </c>
      <c r="AA7" s="590">
        <f>IF($O7="S/L or L",$L7,0)</f>
        <v>0</v>
      </c>
      <c r="AB7" s="590">
        <f>IF($O7="L",$L7,0)</f>
        <v>0</v>
      </c>
      <c r="AC7" s="590">
        <f>IF($O7="S",$L7,0)</f>
        <v>0</v>
      </c>
      <c r="AD7" s="590">
        <f>IF($O7="F",$L7,0)</f>
        <v>0</v>
      </c>
      <c r="AE7" s="593">
        <f>SUM(AA7:AD7)</f>
        <v>0</v>
      </c>
      <c r="AG7" s="578"/>
      <c r="AH7" s="578"/>
      <c r="AI7" s="578"/>
      <c r="AJ7" s="578"/>
      <c r="AK7" s="578"/>
      <c r="AL7" s="579"/>
      <c r="AM7" s="580"/>
      <c r="AN7" s="581"/>
      <c r="AO7" s="581"/>
      <c r="AP7" s="579"/>
      <c r="AQ7" s="582"/>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O7" s="581"/>
      <c r="BP7" s="581"/>
      <c r="BQ7" s="581"/>
      <c r="BR7" s="581"/>
      <c r="BS7" s="581"/>
      <c r="BT7" s="581"/>
      <c r="BU7" s="581"/>
      <c r="BV7" s="581"/>
      <c r="BW7" s="581"/>
      <c r="BX7" s="581"/>
      <c r="BY7" s="581"/>
      <c r="BZ7" s="581"/>
      <c r="CA7" s="581"/>
      <c r="CB7" s="581"/>
      <c r="CC7" s="581"/>
      <c r="CD7" s="581"/>
      <c r="CE7" s="581"/>
      <c r="CF7" s="581"/>
      <c r="CG7" s="581"/>
      <c r="CH7" s="581"/>
      <c r="CI7" s="581"/>
      <c r="CJ7" s="581"/>
      <c r="CK7" s="581"/>
      <c r="CL7" s="581"/>
      <c r="CM7" s="581"/>
      <c r="CN7" s="581"/>
      <c r="CO7" s="581"/>
      <c r="CP7" s="581"/>
      <c r="CQ7" s="581"/>
      <c r="CR7" s="581"/>
      <c r="CS7" s="581"/>
      <c r="CT7" s="581"/>
      <c r="CU7" s="581"/>
      <c r="CV7" s="581"/>
      <c r="CW7" s="581"/>
      <c r="CX7" s="581"/>
      <c r="CY7" s="581"/>
      <c r="CZ7" s="581"/>
      <c r="DA7" s="581"/>
      <c r="DB7" s="581"/>
      <c r="DC7" s="581"/>
      <c r="DD7" s="581"/>
      <c r="DE7" s="581"/>
      <c r="DF7" s="581"/>
      <c r="DG7" s="581"/>
      <c r="DH7" s="581"/>
      <c r="DI7" s="581"/>
      <c r="DJ7" s="581"/>
      <c r="DK7" s="581"/>
      <c r="DL7" s="581"/>
      <c r="DM7" s="581"/>
      <c r="DN7" s="581"/>
      <c r="DO7" s="581"/>
      <c r="DP7" s="581"/>
      <c r="DQ7" s="581"/>
      <c r="DR7" s="581"/>
      <c r="DS7" s="581"/>
      <c r="DT7" s="581"/>
      <c r="DU7" s="581"/>
      <c r="DV7" s="581"/>
      <c r="DW7" s="581"/>
      <c r="DX7" s="581"/>
      <c r="DY7" s="581"/>
      <c r="DZ7" s="581"/>
      <c r="EA7" s="581"/>
      <c r="EB7" s="581"/>
      <c r="EC7" s="581"/>
      <c r="ED7" s="581"/>
      <c r="EE7" s="581"/>
      <c r="EF7" s="581"/>
      <c r="EG7" s="581"/>
      <c r="EH7" s="581"/>
      <c r="EI7" s="581"/>
      <c r="EJ7" s="581"/>
    </row>
    <row r="8" spans="1:140" ht="210">
      <c r="A8" s="600" t="s">
        <v>20</v>
      </c>
      <c r="B8" s="763" t="s">
        <v>954</v>
      </c>
      <c r="C8" s="842" t="s">
        <v>953</v>
      </c>
      <c r="D8" s="600">
        <v>1</v>
      </c>
      <c r="E8" s="600" t="s">
        <v>948</v>
      </c>
      <c r="F8" s="583">
        <f>Hardware!E13</f>
        <v>962.90625</v>
      </c>
      <c r="G8" s="604">
        <f>'Reference Data'!$B$4</f>
        <v>44088</v>
      </c>
      <c r="H8" s="605">
        <f>G8*Hardware!B22</f>
        <v>7598577.822000001</v>
      </c>
      <c r="I8" s="586">
        <f>J8/G8</f>
        <v>160.484375</v>
      </c>
      <c r="J8" s="587">
        <f>M8/BudgetYears</f>
        <v>7075435.125</v>
      </c>
      <c r="K8" s="606">
        <v>6</v>
      </c>
      <c r="L8" s="607">
        <v>0</v>
      </c>
      <c r="M8" s="590">
        <f>(F8*G8)*(BudgetYears/K8)</f>
        <v>42452610.75</v>
      </c>
      <c r="N8" s="590">
        <f>(M8)-(L8*3)</f>
        <v>42452610.75</v>
      </c>
      <c r="O8" s="591" t="s">
        <v>18</v>
      </c>
      <c r="P8" s="590">
        <f>IF($O8="S/L or L",$M8,0)</f>
        <v>42452610.75</v>
      </c>
      <c r="Q8" s="590">
        <f>IF($O8="L",$M8,0)</f>
        <v>0</v>
      </c>
      <c r="R8" s="590">
        <f>IF($O8="S",$M8,0)</f>
        <v>0</v>
      </c>
      <c r="S8" s="590">
        <f>IF($O8="F",$M8,0)</f>
        <v>0</v>
      </c>
      <c r="T8" s="590">
        <f>SUM(P8:S8)</f>
        <v>42452610.75</v>
      </c>
      <c r="U8" s="608" t="s">
        <v>25</v>
      </c>
      <c r="V8" s="590">
        <f>IF($O8="S/L or L",$J8,0)</f>
        <v>7075435.125</v>
      </c>
      <c r="W8" s="590">
        <f>IF($O8="L",$J8,0)</f>
        <v>0</v>
      </c>
      <c r="X8" s="590">
        <f>IF($O8="S",$J8,0)</f>
        <v>0</v>
      </c>
      <c r="Y8" s="590">
        <f>IF($O8="F",$J8,0)</f>
        <v>0</v>
      </c>
      <c r="Z8" s="593">
        <f>SUM(V8:Y8)</f>
        <v>7075435.125</v>
      </c>
      <c r="AA8" s="590">
        <f>IF($O8="S/L or L",$L8,0)</f>
        <v>0</v>
      </c>
      <c r="AB8" s="590">
        <f>IF($O8="L",$L8,0)</f>
        <v>0</v>
      </c>
      <c r="AC8" s="590">
        <f>IF($O8="S",$L8,0)</f>
        <v>0</v>
      </c>
      <c r="AD8" s="590">
        <f>IF($O8="F",$L8,0)</f>
        <v>0</v>
      </c>
      <c r="AE8" s="593">
        <f>SUM(AA8:AD8)</f>
        <v>0</v>
      </c>
      <c r="AG8" s="578"/>
      <c r="AH8" s="578"/>
      <c r="AI8" s="578"/>
      <c r="AJ8" s="578"/>
      <c r="AK8" s="578"/>
      <c r="AL8" s="579"/>
      <c r="AM8" s="580"/>
      <c r="AN8" s="581"/>
      <c r="AO8" s="581"/>
      <c r="AP8" s="579"/>
      <c r="AQ8" s="582"/>
      <c r="AR8" s="581"/>
      <c r="AS8" s="581"/>
      <c r="AT8" s="581"/>
      <c r="AU8" s="581"/>
      <c r="AV8" s="581"/>
      <c r="AW8" s="581"/>
      <c r="AX8" s="581"/>
      <c r="AY8" s="581"/>
      <c r="AZ8" s="581"/>
      <c r="BA8" s="581"/>
      <c r="BB8" s="581"/>
      <c r="BC8" s="581"/>
      <c r="BD8" s="581"/>
      <c r="BE8" s="581"/>
      <c r="BF8" s="581"/>
      <c r="BG8" s="581"/>
      <c r="BH8" s="581"/>
      <c r="BI8" s="581"/>
      <c r="BJ8" s="581"/>
      <c r="BK8" s="581"/>
      <c r="BL8" s="581"/>
      <c r="BM8" s="581"/>
      <c r="BN8" s="581"/>
      <c r="BO8" s="581"/>
      <c r="BP8" s="581"/>
      <c r="BQ8" s="581"/>
      <c r="BR8" s="581"/>
      <c r="BS8" s="581"/>
      <c r="BT8" s="581"/>
      <c r="BU8" s="581"/>
      <c r="BV8" s="581"/>
      <c r="BW8" s="581"/>
      <c r="BX8" s="581"/>
      <c r="BY8" s="581"/>
      <c r="BZ8" s="581"/>
      <c r="CA8" s="581"/>
      <c r="CB8" s="581"/>
      <c r="CC8" s="581"/>
      <c r="CD8" s="581"/>
      <c r="CE8" s="581"/>
      <c r="CF8" s="581"/>
      <c r="CG8" s="581"/>
      <c r="CH8" s="581"/>
      <c r="CI8" s="581"/>
      <c r="CJ8" s="581"/>
      <c r="CK8" s="581"/>
      <c r="CL8" s="581"/>
      <c r="CM8" s="581"/>
      <c r="CN8" s="581"/>
      <c r="CO8" s="581"/>
      <c r="CP8" s="581"/>
      <c r="CQ8" s="581"/>
      <c r="CR8" s="581"/>
      <c r="CS8" s="581"/>
      <c r="CT8" s="581"/>
      <c r="CU8" s="581"/>
      <c r="CV8" s="581"/>
      <c r="CW8" s="581"/>
      <c r="CX8" s="581"/>
      <c r="CY8" s="581"/>
      <c r="CZ8" s="581"/>
      <c r="DA8" s="581"/>
      <c r="DB8" s="581"/>
      <c r="DC8" s="581"/>
      <c r="DD8" s="581"/>
      <c r="DE8" s="581"/>
      <c r="DF8" s="581"/>
      <c r="DG8" s="581"/>
      <c r="DH8" s="581"/>
      <c r="DI8" s="581"/>
      <c r="DJ8" s="581"/>
      <c r="DK8" s="581"/>
      <c r="DL8" s="581"/>
      <c r="DM8" s="581"/>
      <c r="DN8" s="581"/>
      <c r="DO8" s="581"/>
      <c r="DP8" s="581"/>
      <c r="DQ8" s="581"/>
      <c r="DR8" s="581"/>
      <c r="DS8" s="581"/>
      <c r="DT8" s="581"/>
      <c r="DU8" s="581"/>
      <c r="DV8" s="581"/>
      <c r="DW8" s="581"/>
      <c r="DX8" s="581"/>
      <c r="DY8" s="581"/>
      <c r="DZ8" s="581"/>
      <c r="EA8" s="581"/>
      <c r="EB8" s="581"/>
      <c r="EC8" s="581"/>
      <c r="ED8" s="581"/>
      <c r="EE8" s="581"/>
      <c r="EF8" s="581"/>
      <c r="EG8" s="581"/>
      <c r="EH8" s="581"/>
      <c r="EI8" s="581"/>
      <c r="EJ8" s="581"/>
    </row>
    <row r="9" spans="1:140" ht="135">
      <c r="A9" s="600" t="s">
        <v>21</v>
      </c>
      <c r="B9" s="845" t="s">
        <v>939</v>
      </c>
      <c r="C9" s="845" t="s">
        <v>940</v>
      </c>
      <c r="D9" s="600">
        <v>1</v>
      </c>
      <c r="E9" s="600" t="s">
        <v>16</v>
      </c>
      <c r="F9" s="583">
        <f>Hardware!B29</f>
        <v>147.925</v>
      </c>
      <c r="G9" s="604">
        <f>Number_of_Classrooms</f>
        <v>42939</v>
      </c>
      <c r="H9" s="605">
        <f>G9*Hardware!B33</f>
        <v>1651433.94</v>
      </c>
      <c r="I9" s="586">
        <f>J9/G9</f>
        <v>24.654166666666665</v>
      </c>
      <c r="J9" s="587">
        <f>M9/BudgetYears</f>
        <v>1058625.2625</v>
      </c>
      <c r="K9" s="606">
        <v>6</v>
      </c>
      <c r="L9" s="607">
        <v>0</v>
      </c>
      <c r="M9" s="590">
        <f>(F9*G9)*(BudgetYears/K9)</f>
        <v>6351751.575</v>
      </c>
      <c r="N9" s="590">
        <f>(M9)-(L9*3)</f>
        <v>6351751.575</v>
      </c>
      <c r="O9" s="591" t="s">
        <v>18</v>
      </c>
      <c r="P9" s="590">
        <f>IF($O9="S/L or L",$M9,0)</f>
        <v>6351751.575</v>
      </c>
      <c r="Q9" s="590">
        <f>IF($O9="L",$M9,0)</f>
        <v>0</v>
      </c>
      <c r="R9" s="590">
        <f>IF($O9="S",$M9,0)</f>
        <v>0</v>
      </c>
      <c r="S9" s="590">
        <f>IF($O9="F",$M9,0)</f>
        <v>0</v>
      </c>
      <c r="T9" s="590">
        <f>SUM(P9:S9)</f>
        <v>6351751.575</v>
      </c>
      <c r="U9" s="608" t="s">
        <v>25</v>
      </c>
      <c r="V9" s="590">
        <f>IF($O9="S/L or L",$J9,0)</f>
        <v>1058625.2625</v>
      </c>
      <c r="W9" s="590">
        <f>IF($O9="L",$J9,0)</f>
        <v>0</v>
      </c>
      <c r="X9" s="590">
        <f>IF($O9="S",$J9,0)</f>
        <v>0</v>
      </c>
      <c r="Y9" s="590">
        <f>IF($O9="F",$J9,0)</f>
        <v>0</v>
      </c>
      <c r="Z9" s="593">
        <f>SUM(V9:Y9)</f>
        <v>1058625.2625</v>
      </c>
      <c r="AA9" s="590">
        <f>IF($O9="S/L or L",$L9,0)</f>
        <v>0</v>
      </c>
      <c r="AB9" s="590">
        <f>IF($O9="L",$L9,0)</f>
        <v>0</v>
      </c>
      <c r="AC9" s="590">
        <f>IF($O9="S",$L9,0)</f>
        <v>0</v>
      </c>
      <c r="AD9" s="590">
        <f>IF($O9="F",$L9,0)</f>
        <v>0</v>
      </c>
      <c r="AE9" s="593">
        <f>SUM(AA9:AD9)</f>
        <v>0</v>
      </c>
      <c r="AG9" s="578"/>
      <c r="AH9" s="578"/>
      <c r="AI9" s="578"/>
      <c r="AJ9" s="578"/>
      <c r="AK9" s="578"/>
      <c r="AL9" s="579"/>
      <c r="AM9" s="580"/>
      <c r="AN9" s="581"/>
      <c r="AO9" s="581"/>
      <c r="AP9" s="579"/>
      <c r="AQ9" s="582"/>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581"/>
      <c r="DL9" s="581"/>
      <c r="DM9" s="581"/>
      <c r="DN9" s="581"/>
      <c r="DO9" s="581"/>
      <c r="DP9" s="581"/>
      <c r="DQ9" s="581"/>
      <c r="DR9" s="581"/>
      <c r="DS9" s="581"/>
      <c r="DT9" s="581"/>
      <c r="DU9" s="581"/>
      <c r="DV9" s="581"/>
      <c r="DW9" s="581"/>
      <c r="DX9" s="581"/>
      <c r="DY9" s="581"/>
      <c r="DZ9" s="581"/>
      <c r="EA9" s="581"/>
      <c r="EB9" s="581"/>
      <c r="EC9" s="581"/>
      <c r="ED9" s="581"/>
      <c r="EE9" s="581"/>
      <c r="EF9" s="581"/>
      <c r="EG9" s="581"/>
      <c r="EH9" s="581"/>
      <c r="EI9" s="581"/>
      <c r="EJ9" s="581"/>
    </row>
    <row r="10" spans="1:140" ht="105">
      <c r="A10" s="600" t="s">
        <v>22</v>
      </c>
      <c r="B10" s="845" t="s">
        <v>941</v>
      </c>
      <c r="C10" s="846" t="s">
        <v>942</v>
      </c>
      <c r="D10" s="600">
        <v>1</v>
      </c>
      <c r="E10" s="600" t="s">
        <v>949</v>
      </c>
      <c r="F10" s="583">
        <f>Hardware!B38</f>
        <v>386.565</v>
      </c>
      <c r="G10" s="604">
        <v>1650</v>
      </c>
      <c r="H10" s="605">
        <f>G10*Hardware!B42</f>
        <v>97168.5</v>
      </c>
      <c r="I10" s="586">
        <f>J10/G10</f>
        <v>64.4275</v>
      </c>
      <c r="J10" s="587">
        <f>M10/BudgetYears</f>
        <v>106305.375</v>
      </c>
      <c r="K10" s="606">
        <v>6</v>
      </c>
      <c r="L10" s="607">
        <v>0</v>
      </c>
      <c r="M10" s="590">
        <f>(F10*G10)*(BudgetYears/K10)</f>
        <v>637832.25</v>
      </c>
      <c r="N10" s="590">
        <f>(M10)-(L10*3)</f>
        <v>637832.25</v>
      </c>
      <c r="O10" s="591" t="s">
        <v>18</v>
      </c>
      <c r="P10" s="590">
        <f>IF($O10="S/L or L",$M10,0)</f>
        <v>637832.25</v>
      </c>
      <c r="Q10" s="590">
        <f>IF($O10="L",$M10,0)</f>
        <v>0</v>
      </c>
      <c r="R10" s="590">
        <f>IF($O10="S",$M10,0)</f>
        <v>0</v>
      </c>
      <c r="S10" s="590">
        <f>IF($O10="F",$M10,0)</f>
        <v>0</v>
      </c>
      <c r="T10" s="590">
        <f>SUM(P10:S10)</f>
        <v>637832.25</v>
      </c>
      <c r="U10" s="608" t="s">
        <v>25</v>
      </c>
      <c r="V10" s="590">
        <f>IF($O10="S/L or L",$J10,0)</f>
        <v>106305.375</v>
      </c>
      <c r="W10" s="590">
        <f>IF($O10="L",$J10,0)</f>
        <v>0</v>
      </c>
      <c r="X10" s="590">
        <f>IF($O10="S",$J10,0)</f>
        <v>0</v>
      </c>
      <c r="Y10" s="590">
        <f>IF($O10="F",$J10,0)</f>
        <v>0</v>
      </c>
      <c r="Z10" s="593">
        <f>SUM(V10:Y10)</f>
        <v>106305.375</v>
      </c>
      <c r="AA10" s="590">
        <f>IF($O10="S/L or L",$L10,0)</f>
        <v>0</v>
      </c>
      <c r="AB10" s="590">
        <f>IF($O10="L",$L10,0)</f>
        <v>0</v>
      </c>
      <c r="AC10" s="590">
        <f>IF($O10="S",$L10,0)</f>
        <v>0</v>
      </c>
      <c r="AD10" s="590">
        <f>IF($O10="F",$L10,0)</f>
        <v>0</v>
      </c>
      <c r="AE10" s="593">
        <f>SUM(AA10:AD10)</f>
        <v>0</v>
      </c>
      <c r="AG10" s="578"/>
      <c r="AH10" s="578"/>
      <c r="AI10" s="578"/>
      <c r="AJ10" s="578"/>
      <c r="AK10" s="578"/>
      <c r="AL10" s="579"/>
      <c r="AM10" s="580"/>
      <c r="AN10" s="581"/>
      <c r="AO10" s="581"/>
      <c r="AP10" s="579"/>
      <c r="AQ10" s="582"/>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c r="BR10" s="581"/>
      <c r="BS10" s="581"/>
      <c r="BT10" s="581"/>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1"/>
      <c r="DF10" s="581"/>
      <c r="DG10" s="581"/>
      <c r="DH10" s="581"/>
      <c r="DI10" s="581"/>
      <c r="DJ10" s="581"/>
      <c r="DK10" s="581"/>
      <c r="DL10" s="581"/>
      <c r="DM10" s="581"/>
      <c r="DN10" s="581"/>
      <c r="DO10" s="581"/>
      <c r="DP10" s="581"/>
      <c r="DQ10" s="581"/>
      <c r="DR10" s="581"/>
      <c r="DS10" s="581"/>
      <c r="DT10" s="581"/>
      <c r="DU10" s="581"/>
      <c r="DV10" s="581"/>
      <c r="DW10" s="581"/>
      <c r="DX10" s="581"/>
      <c r="DY10" s="581"/>
      <c r="DZ10" s="581"/>
      <c r="EA10" s="581"/>
      <c r="EB10" s="581"/>
      <c r="EC10" s="581"/>
      <c r="ED10" s="581"/>
      <c r="EE10" s="581"/>
      <c r="EF10" s="581"/>
      <c r="EG10" s="581"/>
      <c r="EH10" s="581"/>
      <c r="EI10" s="581"/>
      <c r="EJ10" s="581"/>
    </row>
    <row r="11" spans="1:140" ht="75">
      <c r="A11" s="600" t="s">
        <v>23</v>
      </c>
      <c r="B11" s="763" t="s">
        <v>943</v>
      </c>
      <c r="C11" s="842" t="s">
        <v>955</v>
      </c>
      <c r="D11" s="600">
        <v>2</v>
      </c>
      <c r="E11" s="600" t="s">
        <v>949</v>
      </c>
      <c r="F11" s="583">
        <f>Hardware!B47</f>
        <v>2402.3133333333335</v>
      </c>
      <c r="G11" s="604">
        <f>Number_of_Schools*2</f>
        <v>2494</v>
      </c>
      <c r="H11" s="605">
        <f>G11*Hardware!B52</f>
        <v>925307.2533333333</v>
      </c>
      <c r="I11" s="586">
        <f>J11/G11</f>
        <v>400.3855555555556</v>
      </c>
      <c r="J11" s="587">
        <f>M11/BudgetYears</f>
        <v>998561.5755555556</v>
      </c>
      <c r="K11" s="606">
        <v>6</v>
      </c>
      <c r="L11" s="607">
        <f>(USFInternal)*J11</f>
        <v>698993.1028888889</v>
      </c>
      <c r="M11" s="590">
        <f>(F11*G11)*(BudgetYears/K11)</f>
        <v>5991369.453333334</v>
      </c>
      <c r="N11" s="590">
        <f>(M11)-(L11*3)</f>
        <v>3894390.144666667</v>
      </c>
      <c r="O11" s="591" t="s">
        <v>18</v>
      </c>
      <c r="P11" s="590">
        <f>IF($O11="S/L or L",$M11,0)</f>
        <v>5991369.453333334</v>
      </c>
      <c r="Q11" s="590">
        <f>IF($O11="L",$M11,0)</f>
        <v>0</v>
      </c>
      <c r="R11" s="590">
        <f>IF($O11="S",$M11,0)</f>
        <v>0</v>
      </c>
      <c r="S11" s="590">
        <f>IF($O11="F",$M11,0)</f>
        <v>0</v>
      </c>
      <c r="T11" s="590">
        <f>SUM(P11:S11)</f>
        <v>5991369.453333334</v>
      </c>
      <c r="U11" s="608" t="s">
        <v>25</v>
      </c>
      <c r="V11" s="590">
        <f>IF($O11="S/L or L",$J11,0)</f>
        <v>998561.5755555556</v>
      </c>
      <c r="W11" s="590">
        <f>IF($O11="L",$J11,0)</f>
        <v>0</v>
      </c>
      <c r="X11" s="590">
        <f>IF($O11="S",$J11,0)</f>
        <v>0</v>
      </c>
      <c r="Y11" s="590">
        <f>IF($O11="F",$J11,0)</f>
        <v>0</v>
      </c>
      <c r="Z11" s="593">
        <f>SUM(V11:Y11)</f>
        <v>998561.5755555556</v>
      </c>
      <c r="AA11" s="590">
        <f>IF($O11="S/L or L",$L11,0)</f>
        <v>698993.1028888889</v>
      </c>
      <c r="AB11" s="590">
        <f>IF($O11="L",$L11,0)</f>
        <v>0</v>
      </c>
      <c r="AC11" s="590">
        <f>IF($O11="S",$L11,0)</f>
        <v>0</v>
      </c>
      <c r="AD11" s="590">
        <f>IF($O11="F",$L11,0)</f>
        <v>0</v>
      </c>
      <c r="AE11" s="593">
        <f>SUM(AA11:AD11)</f>
        <v>698993.1028888889</v>
      </c>
      <c r="AG11" s="578"/>
      <c r="AH11" s="578"/>
      <c r="AI11" s="578"/>
      <c r="AJ11" s="578"/>
      <c r="AK11" s="578"/>
      <c r="AL11" s="579"/>
      <c r="AM11" s="580"/>
      <c r="AN11" s="581"/>
      <c r="AO11" s="581"/>
      <c r="AP11" s="579"/>
      <c r="AQ11" s="582"/>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c r="BR11" s="581"/>
      <c r="BS11" s="581"/>
      <c r="BT11" s="581"/>
      <c r="BU11" s="581"/>
      <c r="BV11" s="581"/>
      <c r="BW11" s="581"/>
      <c r="BX11" s="581"/>
      <c r="BY11" s="581"/>
      <c r="BZ11" s="581"/>
      <c r="CA11" s="581"/>
      <c r="CB11" s="581"/>
      <c r="CC11" s="581"/>
      <c r="CD11" s="581"/>
      <c r="CE11" s="581"/>
      <c r="CF11" s="581"/>
      <c r="CG11" s="581"/>
      <c r="CH11" s="581"/>
      <c r="CI11" s="581"/>
      <c r="CJ11" s="581"/>
      <c r="CK11" s="581"/>
      <c r="CL11" s="581"/>
      <c r="CM11" s="581"/>
      <c r="CN11" s="581"/>
      <c r="CO11" s="581"/>
      <c r="CP11" s="581"/>
      <c r="CQ11" s="581"/>
      <c r="CR11" s="581"/>
      <c r="CS11" s="581"/>
      <c r="CT11" s="581"/>
      <c r="CU11" s="581"/>
      <c r="CV11" s="581"/>
      <c r="CW11" s="581"/>
      <c r="CX11" s="581"/>
      <c r="CY11" s="581"/>
      <c r="CZ11" s="581"/>
      <c r="DA11" s="581"/>
      <c r="DB11" s="581"/>
      <c r="DC11" s="581"/>
      <c r="DD11" s="581"/>
      <c r="DE11" s="581"/>
      <c r="DF11" s="581"/>
      <c r="DG11" s="581"/>
      <c r="DH11" s="581"/>
      <c r="DI11" s="581"/>
      <c r="DJ11" s="581"/>
      <c r="DK11" s="581"/>
      <c r="DL11" s="581"/>
      <c r="DM11" s="581"/>
      <c r="DN11" s="581"/>
      <c r="DO11" s="581"/>
      <c r="DP11" s="581"/>
      <c r="DQ11" s="581"/>
      <c r="DR11" s="581"/>
      <c r="DS11" s="581"/>
      <c r="DT11" s="581"/>
      <c r="DU11" s="581"/>
      <c r="DV11" s="581"/>
      <c r="DW11" s="581"/>
      <c r="DX11" s="581"/>
      <c r="DY11" s="581"/>
      <c r="DZ11" s="581"/>
      <c r="EA11" s="581"/>
      <c r="EB11" s="581"/>
      <c r="EC11" s="581"/>
      <c r="ED11" s="581"/>
      <c r="EE11" s="581"/>
      <c r="EF11" s="581"/>
      <c r="EG11" s="581"/>
      <c r="EH11" s="581"/>
      <c r="EI11" s="581"/>
      <c r="EJ11" s="581"/>
    </row>
    <row r="12" spans="1:140" s="620" customFormat="1" ht="15.75">
      <c r="A12" s="611" t="s">
        <v>24</v>
      </c>
      <c r="B12" s="611"/>
      <c r="C12" s="611"/>
      <c r="D12" s="611"/>
      <c r="E12" s="611"/>
      <c r="F12" s="612" t="s">
        <v>25</v>
      </c>
      <c r="G12" s="613"/>
      <c r="H12" s="614">
        <f>SUM(H5+H8+H9+H10+H11)</f>
        <v>33922407.58572142</v>
      </c>
      <c r="I12" s="615"/>
      <c r="J12" s="615">
        <f>SUM(J5:J11)</f>
        <v>35331396.23318577</v>
      </c>
      <c r="K12" s="616"/>
      <c r="L12" s="615">
        <f>SUM(L5:L11)</f>
        <v>698993.1028888889</v>
      </c>
      <c r="M12" s="612">
        <f>SUM(M5:M11)</f>
        <v>211988377.39911458</v>
      </c>
      <c r="N12" s="612">
        <f>SUM(N5:N11)</f>
        <v>209891398.0904479</v>
      </c>
      <c r="O12" s="617" t="s">
        <v>25</v>
      </c>
      <c r="P12" s="612">
        <f aca="true" t="shared" si="0" ref="P12:AE12">SUM(P5:P11)</f>
        <v>211988377.39911458</v>
      </c>
      <c r="Q12" s="612">
        <f t="shared" si="0"/>
        <v>0</v>
      </c>
      <c r="R12" s="612">
        <f t="shared" si="0"/>
        <v>0</v>
      </c>
      <c r="S12" s="612">
        <f t="shared" si="0"/>
        <v>0</v>
      </c>
      <c r="T12" s="612">
        <f t="shared" si="0"/>
        <v>211988377.39911458</v>
      </c>
      <c r="U12" s="612">
        <f t="shared" si="0"/>
        <v>0</v>
      </c>
      <c r="V12" s="612">
        <f t="shared" si="0"/>
        <v>35331396.23318577</v>
      </c>
      <c r="W12" s="612">
        <f t="shared" si="0"/>
        <v>0</v>
      </c>
      <c r="X12" s="612">
        <f t="shared" si="0"/>
        <v>0</v>
      </c>
      <c r="Y12" s="612">
        <f t="shared" si="0"/>
        <v>0</v>
      </c>
      <c r="Z12" s="612">
        <f t="shared" si="0"/>
        <v>35331396.23318577</v>
      </c>
      <c r="AA12" s="612">
        <f t="shared" si="0"/>
        <v>698993.1028888889</v>
      </c>
      <c r="AB12" s="612">
        <f t="shared" si="0"/>
        <v>0</v>
      </c>
      <c r="AC12" s="612">
        <f t="shared" si="0"/>
        <v>0</v>
      </c>
      <c r="AD12" s="612">
        <f t="shared" si="0"/>
        <v>0</v>
      </c>
      <c r="AE12" s="612">
        <f t="shared" si="0"/>
        <v>698993.1028888889</v>
      </c>
      <c r="AF12" s="618"/>
      <c r="AG12" s="830"/>
      <c r="AH12" s="830"/>
      <c r="AI12" s="830"/>
      <c r="AJ12" s="830"/>
      <c r="AK12" s="830"/>
      <c r="AL12" s="831"/>
      <c r="AM12" s="832"/>
      <c r="AN12" s="833"/>
      <c r="AO12" s="833"/>
      <c r="AP12" s="831"/>
      <c r="AQ12" s="834"/>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c r="BP12" s="833"/>
      <c r="BQ12" s="833"/>
      <c r="BR12" s="833"/>
      <c r="BS12" s="833"/>
      <c r="BT12" s="833"/>
      <c r="BU12" s="833"/>
      <c r="BV12" s="833"/>
      <c r="BW12" s="833"/>
      <c r="BX12" s="833"/>
      <c r="BY12" s="833"/>
      <c r="BZ12" s="833"/>
      <c r="CA12" s="833"/>
      <c r="CB12" s="833"/>
      <c r="CC12" s="833"/>
      <c r="CD12" s="833"/>
      <c r="CE12" s="833"/>
      <c r="CF12" s="833"/>
      <c r="CG12" s="833"/>
      <c r="CH12" s="833"/>
      <c r="CI12" s="833"/>
      <c r="CJ12" s="833"/>
      <c r="CK12" s="833"/>
      <c r="CL12" s="833"/>
      <c r="CM12" s="833"/>
      <c r="CN12" s="833"/>
      <c r="CO12" s="833"/>
      <c r="CP12" s="833"/>
      <c r="CQ12" s="833"/>
      <c r="CR12" s="833"/>
      <c r="CS12" s="833"/>
      <c r="CT12" s="833"/>
      <c r="CU12" s="833"/>
      <c r="CV12" s="833"/>
      <c r="CW12" s="833"/>
      <c r="CX12" s="833"/>
      <c r="CY12" s="833"/>
      <c r="CZ12" s="833"/>
      <c r="DA12" s="833"/>
      <c r="DB12" s="833"/>
      <c r="DC12" s="833"/>
      <c r="DD12" s="833"/>
      <c r="DE12" s="833"/>
      <c r="DF12" s="833"/>
      <c r="DG12" s="833"/>
      <c r="DH12" s="833"/>
      <c r="DI12" s="833"/>
      <c r="DJ12" s="833"/>
      <c r="DK12" s="833"/>
      <c r="DL12" s="833"/>
      <c r="DM12" s="833"/>
      <c r="DN12" s="833"/>
      <c r="DO12" s="833"/>
      <c r="DP12" s="833"/>
      <c r="DQ12" s="833"/>
      <c r="DR12" s="833"/>
      <c r="DS12" s="833"/>
      <c r="DT12" s="833"/>
      <c r="DU12" s="833"/>
      <c r="DV12" s="833"/>
      <c r="DW12" s="833"/>
      <c r="DX12" s="833"/>
      <c r="DY12" s="833"/>
      <c r="DZ12" s="833"/>
      <c r="EA12" s="833"/>
      <c r="EB12" s="833"/>
      <c r="EC12" s="833"/>
      <c r="ED12" s="833"/>
      <c r="EE12" s="833"/>
      <c r="EF12" s="833"/>
      <c r="EG12" s="833"/>
      <c r="EH12" s="833"/>
      <c r="EI12" s="833"/>
      <c r="EJ12" s="833"/>
    </row>
    <row r="13" spans="1:140" ht="20.25">
      <c r="A13" s="622" t="s">
        <v>26</v>
      </c>
      <c r="B13" s="622"/>
      <c r="C13" s="622"/>
      <c r="D13" s="622"/>
      <c r="E13" s="622"/>
      <c r="F13" s="583"/>
      <c r="I13" s="586"/>
      <c r="J13" s="586" t="s">
        <v>25</v>
      </c>
      <c r="K13" s="623"/>
      <c r="L13" s="623"/>
      <c r="M13" s="590"/>
      <c r="N13" s="590"/>
      <c r="O13" s="591"/>
      <c r="P13" s="590"/>
      <c r="Q13" s="590"/>
      <c r="R13" s="590"/>
      <c r="S13" s="590"/>
      <c r="T13" s="590"/>
      <c r="U13" s="608"/>
      <c r="V13" s="608"/>
      <c r="W13" s="608"/>
      <c r="X13" s="608"/>
      <c r="Y13" s="608"/>
      <c r="Z13" s="608"/>
      <c r="AA13" s="608"/>
      <c r="AB13" s="608"/>
      <c r="AC13" s="608"/>
      <c r="AD13" s="608"/>
      <c r="AE13" s="608"/>
      <c r="AG13" s="578"/>
      <c r="AH13" s="578"/>
      <c r="AI13" s="578"/>
      <c r="AJ13" s="578"/>
      <c r="AK13" s="578"/>
      <c r="AL13" s="579"/>
      <c r="AM13" s="580"/>
      <c r="AN13" s="581"/>
      <c r="AO13" s="581"/>
      <c r="AP13" s="579"/>
      <c r="AQ13" s="582"/>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1"/>
      <c r="DF13" s="581"/>
      <c r="DG13" s="581"/>
      <c r="DH13" s="581"/>
      <c r="DI13" s="581"/>
      <c r="DJ13" s="581"/>
      <c r="DK13" s="581"/>
      <c r="DL13" s="581"/>
      <c r="DM13" s="581"/>
      <c r="DN13" s="581"/>
      <c r="DO13" s="581"/>
      <c r="DP13" s="581"/>
      <c r="DQ13" s="581"/>
      <c r="DR13" s="581"/>
      <c r="DS13" s="581"/>
      <c r="DT13" s="581"/>
      <c r="DU13" s="581"/>
      <c r="DV13" s="581"/>
      <c r="DW13" s="581"/>
      <c r="DX13" s="581"/>
      <c r="DY13" s="581"/>
      <c r="DZ13" s="581"/>
      <c r="EA13" s="581"/>
      <c r="EB13" s="581"/>
      <c r="EC13" s="581"/>
      <c r="ED13" s="581"/>
      <c r="EE13" s="581"/>
      <c r="EF13" s="581"/>
      <c r="EG13" s="581"/>
      <c r="EH13" s="581"/>
      <c r="EI13" s="581"/>
      <c r="EJ13" s="581"/>
    </row>
    <row r="14" spans="1:140" ht="135">
      <c r="A14" s="600" t="s">
        <v>27</v>
      </c>
      <c r="B14" s="763" t="s">
        <v>944</v>
      </c>
      <c r="C14" s="842" t="s">
        <v>956</v>
      </c>
      <c r="D14" s="600">
        <v>5</v>
      </c>
      <c r="E14" s="600" t="s">
        <v>950</v>
      </c>
      <c r="F14" s="583">
        <v>890</v>
      </c>
      <c r="G14" s="584">
        <f>5*Number_of_Schools</f>
        <v>6235</v>
      </c>
      <c r="H14" s="605">
        <f>G14*Hardware!B22</f>
        <v>1074603.80875</v>
      </c>
      <c r="I14" s="586">
        <f>J14/G14</f>
        <v>148.33333333333334</v>
      </c>
      <c r="J14" s="587">
        <f>M14/BudgetYears</f>
        <v>924858.3333333334</v>
      </c>
      <c r="K14" s="606">
        <v>6</v>
      </c>
      <c r="L14" s="607">
        <v>0</v>
      </c>
      <c r="M14" s="590">
        <f>(F14*G14)*(BudgetYears/K14)</f>
        <v>5549150</v>
      </c>
      <c r="N14" s="590">
        <f>(M14)-(L14*3)</f>
        <v>5549150</v>
      </c>
      <c r="O14" s="591" t="s">
        <v>18</v>
      </c>
      <c r="P14" s="590">
        <f>IF($O14="S/L or L",$M14,0)</f>
        <v>5549150</v>
      </c>
      <c r="Q14" s="590">
        <f>IF($O14="L",$M14,0)</f>
        <v>0</v>
      </c>
      <c r="R14" s="590">
        <f>IF($O14="S",$M14,0)</f>
        <v>0</v>
      </c>
      <c r="S14" s="590">
        <f>IF($O14="F",$M14,0)</f>
        <v>0</v>
      </c>
      <c r="T14" s="590">
        <f>SUM(P14:S14)</f>
        <v>5549150</v>
      </c>
      <c r="U14" s="608" t="s">
        <v>25</v>
      </c>
      <c r="V14" s="590">
        <f>IF($O14="S/L or L",$J14,0)</f>
        <v>924858.3333333334</v>
      </c>
      <c r="W14" s="590">
        <f>IF($O14="L",$J14,0)</f>
        <v>0</v>
      </c>
      <c r="X14" s="590">
        <f>IF($O14="S",$J14,0)</f>
        <v>0</v>
      </c>
      <c r="Y14" s="590">
        <f>IF($O14="F",$J14,0)</f>
        <v>0</v>
      </c>
      <c r="Z14" s="593">
        <f>SUM(V14:Y14)</f>
        <v>924858.3333333334</v>
      </c>
      <c r="AA14" s="590">
        <f>IF($O14="S/L or L",$L14,0)</f>
        <v>0</v>
      </c>
      <c r="AB14" s="590">
        <f>IF($O14="L",$L14,0)</f>
        <v>0</v>
      </c>
      <c r="AC14" s="590">
        <f>IF($O14="S",$L14,0)</f>
        <v>0</v>
      </c>
      <c r="AD14" s="590">
        <f>IF($O14="F",$L14,0)</f>
        <v>0</v>
      </c>
      <c r="AE14" s="593">
        <f>SUM(AA14:AD14)</f>
        <v>0</v>
      </c>
      <c r="AG14" s="578"/>
      <c r="AH14" s="578"/>
      <c r="AI14" s="578"/>
      <c r="AJ14" s="578"/>
      <c r="AK14" s="578"/>
      <c r="AL14" s="579"/>
      <c r="AM14" s="580"/>
      <c r="AN14" s="581"/>
      <c r="AO14" s="581"/>
      <c r="AP14" s="579"/>
      <c r="AQ14" s="582"/>
      <c r="AR14" s="581"/>
      <c r="AS14" s="581"/>
      <c r="AT14" s="581"/>
      <c r="AU14" s="581"/>
      <c r="AV14" s="581"/>
      <c r="AW14" s="581"/>
      <c r="AX14" s="581"/>
      <c r="AY14" s="581"/>
      <c r="AZ14" s="581"/>
      <c r="BA14" s="581"/>
      <c r="BB14" s="581"/>
      <c r="BC14" s="581"/>
      <c r="BD14" s="581"/>
      <c r="BE14" s="581"/>
      <c r="BF14" s="581"/>
      <c r="BG14" s="581"/>
      <c r="BH14" s="581"/>
      <c r="BI14" s="581"/>
      <c r="BJ14" s="581"/>
      <c r="BK14" s="581"/>
      <c r="BL14" s="581"/>
      <c r="BM14" s="581"/>
      <c r="BN14" s="581"/>
      <c r="BO14" s="581"/>
      <c r="BP14" s="581"/>
      <c r="BQ14" s="581"/>
      <c r="BR14" s="581"/>
      <c r="BS14" s="581"/>
      <c r="BT14" s="581"/>
      <c r="BU14" s="581"/>
      <c r="BV14" s="581"/>
      <c r="BW14" s="581"/>
      <c r="BX14" s="581"/>
      <c r="BY14" s="581"/>
      <c r="BZ14" s="581"/>
      <c r="CA14" s="581"/>
      <c r="CB14" s="581"/>
      <c r="CC14" s="581"/>
      <c r="CD14" s="581"/>
      <c r="CE14" s="581"/>
      <c r="CF14" s="581"/>
      <c r="CG14" s="581"/>
      <c r="CH14" s="581"/>
      <c r="CI14" s="581"/>
      <c r="CJ14" s="581"/>
      <c r="CK14" s="581"/>
      <c r="CL14" s="581"/>
      <c r="CM14" s="581"/>
      <c r="CN14" s="581"/>
      <c r="CO14" s="581"/>
      <c r="CP14" s="581"/>
      <c r="CQ14" s="581"/>
      <c r="CR14" s="581"/>
      <c r="CS14" s="581"/>
      <c r="CT14" s="581"/>
      <c r="CU14" s="581"/>
      <c r="CV14" s="581"/>
      <c r="CW14" s="581"/>
      <c r="CX14" s="581"/>
      <c r="CY14" s="581"/>
      <c r="CZ14" s="581"/>
      <c r="DA14" s="581"/>
      <c r="DB14" s="581"/>
      <c r="DC14" s="581"/>
      <c r="DD14" s="581"/>
      <c r="DE14" s="581"/>
      <c r="DF14" s="581"/>
      <c r="DG14" s="581"/>
      <c r="DH14" s="581"/>
      <c r="DI14" s="581"/>
      <c r="DJ14" s="581"/>
      <c r="DK14" s="581"/>
      <c r="DL14" s="581"/>
      <c r="DM14" s="581"/>
      <c r="DN14" s="581"/>
      <c r="DO14" s="581"/>
      <c r="DP14" s="581"/>
      <c r="DQ14" s="581"/>
      <c r="DR14" s="581"/>
      <c r="DS14" s="581"/>
      <c r="DT14" s="581"/>
      <c r="DU14" s="581"/>
      <c r="DV14" s="581"/>
      <c r="DW14" s="581"/>
      <c r="DX14" s="581"/>
      <c r="DY14" s="581"/>
      <c r="DZ14" s="581"/>
      <c r="EA14" s="581"/>
      <c r="EB14" s="581"/>
      <c r="EC14" s="581"/>
      <c r="ED14" s="581"/>
      <c r="EE14" s="581"/>
      <c r="EF14" s="581"/>
      <c r="EG14" s="581"/>
      <c r="EH14" s="581"/>
      <c r="EI14" s="581"/>
      <c r="EJ14" s="581"/>
    </row>
    <row r="15" spans="1:140" ht="135">
      <c r="A15" s="600" t="s">
        <v>28</v>
      </c>
      <c r="B15" s="763" t="s">
        <v>743</v>
      </c>
      <c r="C15" s="842" t="s">
        <v>1</v>
      </c>
      <c r="D15" s="600">
        <v>1</v>
      </c>
      <c r="E15" s="754" t="s">
        <v>0</v>
      </c>
      <c r="F15" s="583">
        <v>387</v>
      </c>
      <c r="G15" s="584">
        <f>Number_of_Schools</f>
        <v>1247</v>
      </c>
      <c r="H15" s="605">
        <f>G15*Hardware!B42</f>
        <v>73435.83</v>
      </c>
      <c r="I15" s="586">
        <f>J15/G15</f>
        <v>64.5</v>
      </c>
      <c r="J15" s="587">
        <f>M15/BudgetYears</f>
        <v>80431.5</v>
      </c>
      <c r="K15" s="606">
        <v>6</v>
      </c>
      <c r="L15" s="607">
        <v>0</v>
      </c>
      <c r="M15" s="590">
        <f>(F15*G15)*(BudgetYears/K15)</f>
        <v>482589</v>
      </c>
      <c r="N15" s="590">
        <f>(M15)-(L15*3)</f>
        <v>482589</v>
      </c>
      <c r="O15" s="591" t="s">
        <v>18</v>
      </c>
      <c r="P15" s="590">
        <f>IF($O15="S/L or L",$M15,0)</f>
        <v>482589</v>
      </c>
      <c r="Q15" s="590">
        <f>IF($O15="L",$M15,0)</f>
        <v>0</v>
      </c>
      <c r="R15" s="590">
        <f>IF($O15="S",$M15,0)</f>
        <v>0</v>
      </c>
      <c r="S15" s="590">
        <f>IF($O15="F",$M15,0)</f>
        <v>0</v>
      </c>
      <c r="T15" s="590">
        <f>SUM(P15:S15)</f>
        <v>482589</v>
      </c>
      <c r="U15" s="608" t="s">
        <v>25</v>
      </c>
      <c r="V15" s="590">
        <f>IF($O15="S/L or L",$J15,0)</f>
        <v>80431.5</v>
      </c>
      <c r="W15" s="590">
        <f>IF($O15="L",$J15,0)</f>
        <v>0</v>
      </c>
      <c r="X15" s="590">
        <f>IF($O15="S",$J15,0)</f>
        <v>0</v>
      </c>
      <c r="Y15" s="590">
        <f>IF($O15="F",$J15,0)</f>
        <v>0</v>
      </c>
      <c r="Z15" s="593">
        <f>SUM(V15:Y15)</f>
        <v>80431.5</v>
      </c>
      <c r="AA15" s="590">
        <f>IF($O15="S/L or L",$L15,0)</f>
        <v>0</v>
      </c>
      <c r="AB15" s="590">
        <f>IF($O15="L",$L15,0)</f>
        <v>0</v>
      </c>
      <c r="AC15" s="590">
        <f>IF($O15="S",$L15,0)</f>
        <v>0</v>
      </c>
      <c r="AD15" s="590">
        <f>IF($O15="F",$L15,0)</f>
        <v>0</v>
      </c>
      <c r="AE15" s="593">
        <f>SUM(AA15:AD15)</f>
        <v>0</v>
      </c>
      <c r="AG15" s="578"/>
      <c r="AH15" s="578"/>
      <c r="AI15" s="578"/>
      <c r="AJ15" s="578"/>
      <c r="AK15" s="578"/>
      <c r="AL15" s="579"/>
      <c r="AM15" s="580"/>
      <c r="AN15" s="581"/>
      <c r="AO15" s="581"/>
      <c r="AP15" s="579"/>
      <c r="AQ15" s="582"/>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c r="BW15" s="581"/>
      <c r="BX15" s="581"/>
      <c r="BY15" s="581"/>
      <c r="BZ15" s="581"/>
      <c r="CA15" s="581"/>
      <c r="CB15" s="581"/>
      <c r="CC15" s="581"/>
      <c r="CD15" s="581"/>
      <c r="CE15" s="581"/>
      <c r="CF15" s="581"/>
      <c r="CG15" s="581"/>
      <c r="CH15" s="581"/>
      <c r="CI15" s="581"/>
      <c r="CJ15" s="581"/>
      <c r="CK15" s="581"/>
      <c r="CL15" s="581"/>
      <c r="CM15" s="581"/>
      <c r="CN15" s="581"/>
      <c r="CO15" s="581"/>
      <c r="CP15" s="581"/>
      <c r="CQ15" s="581"/>
      <c r="CR15" s="581"/>
      <c r="CS15" s="581"/>
      <c r="CT15" s="581"/>
      <c r="CU15" s="581"/>
      <c r="CV15" s="581"/>
      <c r="CW15" s="581"/>
      <c r="CX15" s="581"/>
      <c r="CY15" s="581"/>
      <c r="CZ15" s="581"/>
      <c r="DA15" s="581"/>
      <c r="DB15" s="581"/>
      <c r="DC15" s="581"/>
      <c r="DD15" s="581"/>
      <c r="DE15" s="581"/>
      <c r="DF15" s="581"/>
      <c r="DG15" s="581"/>
      <c r="DH15" s="581"/>
      <c r="DI15" s="581"/>
      <c r="DJ15" s="581"/>
      <c r="DK15" s="581"/>
      <c r="DL15" s="581"/>
      <c r="DM15" s="581"/>
      <c r="DN15" s="581"/>
      <c r="DO15" s="581"/>
      <c r="DP15" s="581"/>
      <c r="DQ15" s="581"/>
      <c r="DR15" s="581"/>
      <c r="DS15" s="581"/>
      <c r="DT15" s="581"/>
      <c r="DU15" s="581"/>
      <c r="DV15" s="581"/>
      <c r="DW15" s="581"/>
      <c r="DX15" s="581"/>
      <c r="DY15" s="581"/>
      <c r="DZ15" s="581"/>
      <c r="EA15" s="581"/>
      <c r="EB15" s="581"/>
      <c r="EC15" s="581"/>
      <c r="ED15" s="581"/>
      <c r="EE15" s="581"/>
      <c r="EF15" s="581"/>
      <c r="EG15" s="581"/>
      <c r="EH15" s="581"/>
      <c r="EI15" s="581"/>
      <c r="EJ15" s="581"/>
    </row>
    <row r="16" spans="1:140" ht="60">
      <c r="A16" s="600" t="s">
        <v>857</v>
      </c>
      <c r="B16" s="763"/>
      <c r="C16" s="842" t="s">
        <v>955</v>
      </c>
      <c r="D16" s="600">
        <v>1</v>
      </c>
      <c r="E16" s="754" t="s">
        <v>350</v>
      </c>
      <c r="F16" s="583">
        <f>Hardware!B47</f>
        <v>2402.3133333333335</v>
      </c>
      <c r="G16" s="584">
        <f>Number_of_Schools</f>
        <v>1247</v>
      </c>
      <c r="H16" s="605">
        <f>G16*203</f>
        <v>253141</v>
      </c>
      <c r="I16" s="586">
        <f>J16/G16</f>
        <v>400.3855555555556</v>
      </c>
      <c r="J16" s="587">
        <f>M16/BudgetYears</f>
        <v>499280.7877777778</v>
      </c>
      <c r="K16" s="606">
        <v>6</v>
      </c>
      <c r="L16" s="607">
        <v>0</v>
      </c>
      <c r="M16" s="590">
        <f>(F16*G16)*(BudgetYears/K16)</f>
        <v>2995684.726666667</v>
      </c>
      <c r="N16" s="590">
        <f>(M16)-(L16*3)</f>
        <v>2995684.726666667</v>
      </c>
      <c r="O16" s="591" t="s">
        <v>18</v>
      </c>
      <c r="P16" s="590">
        <f>IF($O16="S/L or L",$M16,0)</f>
        <v>2995684.726666667</v>
      </c>
      <c r="Q16" s="590">
        <f>IF($O16="L",$M16,0)</f>
        <v>0</v>
      </c>
      <c r="R16" s="590">
        <f>IF($O16="S",$M16,0)</f>
        <v>0</v>
      </c>
      <c r="S16" s="590">
        <f>IF($O16="F",$M16,0)</f>
        <v>0</v>
      </c>
      <c r="T16" s="590">
        <f>SUM(P16:S16)</f>
        <v>2995684.726666667</v>
      </c>
      <c r="U16" s="608" t="s">
        <v>25</v>
      </c>
      <c r="V16" s="590">
        <f>IF($O16="S/L or L",$J16,0)</f>
        <v>499280.7877777778</v>
      </c>
      <c r="W16" s="590">
        <f>IF($O16="L",$J16,0)</f>
        <v>0</v>
      </c>
      <c r="X16" s="590">
        <f>IF($O16="S",$J16,0)</f>
        <v>0</v>
      </c>
      <c r="Y16" s="590">
        <f>IF($O16="F",$J16,0)</f>
        <v>0</v>
      </c>
      <c r="Z16" s="593">
        <f>SUM(V16:Y16)</f>
        <v>499280.7877777778</v>
      </c>
      <c r="AA16" s="590">
        <f>IF($O16="S/L or L",$L16,0)</f>
        <v>0</v>
      </c>
      <c r="AB16" s="590">
        <f>IF($O16="L",$L16,0)</f>
        <v>0</v>
      </c>
      <c r="AC16" s="590">
        <f>IF($O16="S",$L16,0)</f>
        <v>0</v>
      </c>
      <c r="AD16" s="590">
        <f>IF($O16="F",$L16,0)</f>
        <v>0</v>
      </c>
      <c r="AE16" s="593">
        <f>SUM(AA16:AD16)</f>
        <v>0</v>
      </c>
      <c r="AG16" s="578"/>
      <c r="AH16" s="578"/>
      <c r="AI16" s="578"/>
      <c r="AJ16" s="578"/>
      <c r="AK16" s="578"/>
      <c r="AL16" s="579"/>
      <c r="AM16" s="580"/>
      <c r="AN16" s="581"/>
      <c r="AO16" s="581"/>
      <c r="AP16" s="579"/>
      <c r="AQ16" s="582"/>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c r="BW16" s="581"/>
      <c r="BX16" s="581"/>
      <c r="BY16" s="581"/>
      <c r="BZ16" s="581"/>
      <c r="CA16" s="581"/>
      <c r="CB16" s="581"/>
      <c r="CC16" s="581"/>
      <c r="CD16" s="581"/>
      <c r="CE16" s="581"/>
      <c r="CF16" s="581"/>
      <c r="CG16" s="581"/>
      <c r="CH16" s="581"/>
      <c r="CI16" s="581"/>
      <c r="CJ16" s="581"/>
      <c r="CK16" s="581"/>
      <c r="CL16" s="581"/>
      <c r="CM16" s="581"/>
      <c r="CN16" s="581"/>
      <c r="CO16" s="581"/>
      <c r="CP16" s="581"/>
      <c r="CQ16" s="581"/>
      <c r="CR16" s="581"/>
      <c r="CS16" s="581"/>
      <c r="CT16" s="581"/>
      <c r="CU16" s="581"/>
      <c r="CV16" s="581"/>
      <c r="CW16" s="581"/>
      <c r="CX16" s="581"/>
      <c r="CY16" s="581"/>
      <c r="CZ16" s="581"/>
      <c r="DA16" s="581"/>
      <c r="DB16" s="581"/>
      <c r="DC16" s="581"/>
      <c r="DD16" s="581"/>
      <c r="DE16" s="581"/>
      <c r="DF16" s="581"/>
      <c r="DG16" s="581"/>
      <c r="DH16" s="581"/>
      <c r="DI16" s="581"/>
      <c r="DJ16" s="581"/>
      <c r="DK16" s="581"/>
      <c r="DL16" s="581"/>
      <c r="DM16" s="581"/>
      <c r="DN16" s="581"/>
      <c r="DO16" s="581"/>
      <c r="DP16" s="581"/>
      <c r="DQ16" s="581"/>
      <c r="DR16" s="581"/>
      <c r="DS16" s="581"/>
      <c r="DT16" s="581"/>
      <c r="DU16" s="581"/>
      <c r="DV16" s="581"/>
      <c r="DW16" s="581"/>
      <c r="DX16" s="581"/>
      <c r="DY16" s="581"/>
      <c r="DZ16" s="581"/>
      <c r="EA16" s="581"/>
      <c r="EB16" s="581"/>
      <c r="EC16" s="581"/>
      <c r="ED16" s="581"/>
      <c r="EE16" s="581"/>
      <c r="EF16" s="581"/>
      <c r="EG16" s="581"/>
      <c r="EH16" s="581"/>
      <c r="EI16" s="581"/>
      <c r="EJ16" s="581"/>
    </row>
    <row r="17" spans="1:140" s="603" customFormat="1" ht="15.75">
      <c r="A17" s="600"/>
      <c r="B17" s="600"/>
      <c r="C17" s="600"/>
      <c r="D17" s="600"/>
      <c r="E17" s="600"/>
      <c r="F17" s="583"/>
      <c r="G17" s="584"/>
      <c r="H17" s="586"/>
      <c r="I17" s="586"/>
      <c r="J17" s="587"/>
      <c r="K17" s="606"/>
      <c r="L17" s="607"/>
      <c r="M17" s="590"/>
      <c r="N17" s="590"/>
      <c r="O17" s="591"/>
      <c r="P17" s="590"/>
      <c r="Q17" s="590"/>
      <c r="R17" s="590"/>
      <c r="S17" s="590"/>
      <c r="T17" s="590"/>
      <c r="U17" s="608"/>
      <c r="V17" s="590"/>
      <c r="W17" s="590"/>
      <c r="X17" s="590"/>
      <c r="Y17" s="590"/>
      <c r="Z17" s="593"/>
      <c r="AA17" s="590"/>
      <c r="AB17" s="590"/>
      <c r="AC17" s="590"/>
      <c r="AD17" s="590"/>
      <c r="AE17" s="593"/>
      <c r="AF17" s="599"/>
      <c r="AG17" s="758"/>
      <c r="AH17" s="760"/>
      <c r="AI17" s="759"/>
      <c r="AJ17" s="758"/>
      <c r="AK17" s="758"/>
      <c r="AL17" s="734"/>
      <c r="AM17" s="800"/>
      <c r="AN17" s="569"/>
      <c r="AO17" s="569"/>
      <c r="AP17" s="734"/>
      <c r="AQ17" s="575"/>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69"/>
      <c r="BT17" s="569"/>
      <c r="BU17" s="569"/>
      <c r="BV17" s="569"/>
      <c r="BW17" s="569"/>
      <c r="BX17" s="569"/>
      <c r="BY17" s="569"/>
      <c r="BZ17" s="569"/>
      <c r="CA17" s="569"/>
      <c r="CB17" s="569"/>
      <c r="CC17" s="569"/>
      <c r="CD17" s="569"/>
      <c r="CE17" s="569"/>
      <c r="CF17" s="569"/>
      <c r="CG17" s="569"/>
      <c r="CH17" s="569"/>
      <c r="CI17" s="569"/>
      <c r="CJ17" s="569"/>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569"/>
      <c r="DJ17" s="569"/>
      <c r="DK17" s="569"/>
      <c r="DL17" s="569"/>
      <c r="DM17" s="569"/>
      <c r="DN17" s="569"/>
      <c r="DO17" s="569"/>
      <c r="DP17" s="569"/>
      <c r="DQ17" s="569"/>
      <c r="DR17" s="569"/>
      <c r="DS17" s="569"/>
      <c r="DT17" s="569"/>
      <c r="DU17" s="569"/>
      <c r="DV17" s="569"/>
      <c r="DW17" s="569"/>
      <c r="DX17" s="569"/>
      <c r="DY17" s="569"/>
      <c r="DZ17" s="569"/>
      <c r="EA17" s="569"/>
      <c r="EB17" s="569"/>
      <c r="EC17" s="569"/>
      <c r="ED17" s="569"/>
      <c r="EE17" s="569"/>
      <c r="EF17" s="569"/>
      <c r="EG17" s="569"/>
      <c r="EH17" s="569"/>
      <c r="EI17" s="569"/>
      <c r="EJ17" s="569"/>
    </row>
    <row r="18" spans="1:140" s="603" customFormat="1" ht="15.75">
      <c r="A18" s="600"/>
      <c r="B18" s="600"/>
      <c r="C18" s="600"/>
      <c r="D18" s="600"/>
      <c r="E18" s="600"/>
      <c r="F18" s="583"/>
      <c r="G18" s="584"/>
      <c r="H18" s="586"/>
      <c r="I18" s="586"/>
      <c r="J18" s="587"/>
      <c r="K18" s="606"/>
      <c r="L18" s="607"/>
      <c r="M18" s="590"/>
      <c r="N18" s="590"/>
      <c r="O18" s="591"/>
      <c r="P18" s="590"/>
      <c r="Q18" s="590"/>
      <c r="R18" s="590"/>
      <c r="S18" s="590"/>
      <c r="T18" s="590"/>
      <c r="U18" s="608"/>
      <c r="V18" s="590"/>
      <c r="W18" s="590"/>
      <c r="X18" s="590"/>
      <c r="Y18" s="590"/>
      <c r="Z18" s="593"/>
      <c r="AA18" s="590"/>
      <c r="AB18" s="590"/>
      <c r="AC18" s="590"/>
      <c r="AD18" s="590"/>
      <c r="AE18" s="593"/>
      <c r="AF18" s="599"/>
      <c r="AG18" s="578"/>
      <c r="AH18" s="578"/>
      <c r="AI18" s="578"/>
      <c r="AJ18" s="578"/>
      <c r="AK18" s="578"/>
      <c r="AL18" s="734"/>
      <c r="AM18" s="800"/>
      <c r="AN18" s="569"/>
      <c r="AO18" s="569"/>
      <c r="AP18" s="734"/>
      <c r="AQ18" s="575"/>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9"/>
      <c r="DH18" s="569"/>
      <c r="DI18" s="569"/>
      <c r="DJ18" s="569"/>
      <c r="DK18" s="569"/>
      <c r="DL18" s="569"/>
      <c r="DM18" s="569"/>
      <c r="DN18" s="569"/>
      <c r="DO18" s="569"/>
      <c r="DP18" s="569"/>
      <c r="DQ18" s="569"/>
      <c r="DR18" s="569"/>
      <c r="DS18" s="569"/>
      <c r="DT18" s="569"/>
      <c r="DU18" s="569"/>
      <c r="DV18" s="569"/>
      <c r="DW18" s="569"/>
      <c r="DX18" s="569"/>
      <c r="DY18" s="569"/>
      <c r="DZ18" s="569"/>
      <c r="EA18" s="569"/>
      <c r="EB18" s="569"/>
      <c r="EC18" s="569"/>
      <c r="ED18" s="569"/>
      <c r="EE18" s="569"/>
      <c r="EF18" s="569"/>
      <c r="EG18" s="569"/>
      <c r="EH18" s="569"/>
      <c r="EI18" s="569"/>
      <c r="EJ18" s="569"/>
    </row>
    <row r="19" spans="1:140" ht="15.75">
      <c r="A19" s="624" t="s">
        <v>30</v>
      </c>
      <c r="B19" s="624"/>
      <c r="C19" s="624"/>
      <c r="D19" s="624"/>
      <c r="E19" s="624"/>
      <c r="F19" s="625" t="s">
        <v>25</v>
      </c>
      <c r="G19" s="626"/>
      <c r="H19" s="627">
        <f>SUM(H14:H15)</f>
        <v>1148039.6387500002</v>
      </c>
      <c r="I19" s="628"/>
      <c r="J19" s="628">
        <f>SUM(J14:J16)</f>
        <v>1504570.6211111112</v>
      </c>
      <c r="K19" s="629"/>
      <c r="L19" s="628">
        <f>SUM(L14:L16)</f>
        <v>0</v>
      </c>
      <c r="M19" s="625">
        <f>SUM(M14:M16)</f>
        <v>9027423.726666667</v>
      </c>
      <c r="N19" s="625">
        <f>SUM(N14:N16)</f>
        <v>9027423.726666667</v>
      </c>
      <c r="O19" s="591" t="s">
        <v>25</v>
      </c>
      <c r="P19" s="625">
        <f>SUM(P14:P16)</f>
        <v>9027423.726666667</v>
      </c>
      <c r="Q19" s="625">
        <f>SUM(Q14:Q16)</f>
        <v>0</v>
      </c>
      <c r="R19" s="625">
        <f>SUM(R14:R16)</f>
        <v>0</v>
      </c>
      <c r="S19" s="625">
        <f>SUM(S14:S16)</f>
        <v>0</v>
      </c>
      <c r="T19" s="625">
        <f>SUM(T14:T16)</f>
        <v>9027423.726666667</v>
      </c>
      <c r="U19" s="608">
        <v>2255631.536912259</v>
      </c>
      <c r="V19" s="625">
        <f aca="true" t="shared" si="1" ref="V19:AE19">SUM(V14:V16)</f>
        <v>1504570.6211111112</v>
      </c>
      <c r="W19" s="625">
        <f t="shared" si="1"/>
        <v>0</v>
      </c>
      <c r="X19" s="625">
        <f t="shared" si="1"/>
        <v>0</v>
      </c>
      <c r="Y19" s="625">
        <f t="shared" si="1"/>
        <v>0</v>
      </c>
      <c r="Z19" s="625">
        <f t="shared" si="1"/>
        <v>1504570.6211111112</v>
      </c>
      <c r="AA19" s="630">
        <f t="shared" si="1"/>
        <v>0</v>
      </c>
      <c r="AB19" s="630">
        <f t="shared" si="1"/>
        <v>0</v>
      </c>
      <c r="AC19" s="630">
        <f t="shared" si="1"/>
        <v>0</v>
      </c>
      <c r="AD19" s="630">
        <f t="shared" si="1"/>
        <v>0</v>
      </c>
      <c r="AE19" s="630">
        <f t="shared" si="1"/>
        <v>0</v>
      </c>
      <c r="AG19" s="578"/>
      <c r="AH19" s="578"/>
      <c r="AI19" s="578"/>
      <c r="AJ19" s="578"/>
      <c r="AK19" s="578"/>
      <c r="AL19" s="579"/>
      <c r="AM19" s="580"/>
      <c r="AN19" s="581"/>
      <c r="AO19" s="581"/>
      <c r="AP19" s="579"/>
      <c r="AQ19" s="582"/>
      <c r="AR19" s="581"/>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1"/>
      <c r="BO19" s="581"/>
      <c r="BP19" s="581"/>
      <c r="BQ19" s="581"/>
      <c r="BR19" s="581"/>
      <c r="BS19" s="581"/>
      <c r="BT19" s="581"/>
      <c r="BU19" s="581"/>
      <c r="BV19" s="581"/>
      <c r="BW19" s="581"/>
      <c r="BX19" s="581"/>
      <c r="BY19" s="581"/>
      <c r="BZ19" s="581"/>
      <c r="CA19" s="581"/>
      <c r="CB19" s="581"/>
      <c r="CC19" s="581"/>
      <c r="CD19" s="581"/>
      <c r="CE19" s="581"/>
      <c r="CF19" s="581"/>
      <c r="CG19" s="581"/>
      <c r="CH19" s="581"/>
      <c r="CI19" s="581"/>
      <c r="CJ19" s="581"/>
      <c r="CK19" s="581"/>
      <c r="CL19" s="581"/>
      <c r="CM19" s="581"/>
      <c r="CN19" s="581"/>
      <c r="CO19" s="581"/>
      <c r="CP19" s="581"/>
      <c r="CQ19" s="581"/>
      <c r="CR19" s="581"/>
      <c r="CS19" s="581"/>
      <c r="CT19" s="581"/>
      <c r="CU19" s="581"/>
      <c r="CV19" s="581"/>
      <c r="CW19" s="581"/>
      <c r="CX19" s="581"/>
      <c r="CY19" s="581"/>
      <c r="CZ19" s="581"/>
      <c r="DA19" s="581"/>
      <c r="DB19" s="581"/>
      <c r="DC19" s="581"/>
      <c r="DD19" s="581"/>
      <c r="DE19" s="581"/>
      <c r="DF19" s="581"/>
      <c r="DG19" s="581"/>
      <c r="DH19" s="581"/>
      <c r="DI19" s="581"/>
      <c r="DJ19" s="581"/>
      <c r="DK19" s="581"/>
      <c r="DL19" s="581"/>
      <c r="DM19" s="581"/>
      <c r="DN19" s="581"/>
      <c r="DO19" s="581"/>
      <c r="DP19" s="581"/>
      <c r="DQ19" s="581"/>
      <c r="DR19" s="581"/>
      <c r="DS19" s="581"/>
      <c r="DT19" s="581"/>
      <c r="DU19" s="581"/>
      <c r="DV19" s="581"/>
      <c r="DW19" s="581"/>
      <c r="DX19" s="581"/>
      <c r="DY19" s="581"/>
      <c r="DZ19" s="581"/>
      <c r="EA19" s="581"/>
      <c r="EB19" s="581"/>
      <c r="EC19" s="581"/>
      <c r="ED19" s="581"/>
      <c r="EE19" s="581"/>
      <c r="EF19" s="581"/>
      <c r="EG19" s="581"/>
      <c r="EH19" s="581"/>
      <c r="EI19" s="581"/>
      <c r="EJ19" s="581"/>
    </row>
    <row r="20" spans="1:140" s="641" customFormat="1" ht="23.25">
      <c r="A20" s="631" t="s">
        <v>31</v>
      </c>
      <c r="B20" s="624"/>
      <c r="C20" s="624"/>
      <c r="D20" s="624"/>
      <c r="E20" s="631"/>
      <c r="F20" s="632" t="s">
        <v>25</v>
      </c>
      <c r="G20" s="633"/>
      <c r="H20" s="634">
        <f>H19+H12</f>
        <v>35070447.22447142</v>
      </c>
      <c r="I20" s="635"/>
      <c r="J20" s="636">
        <f>J19+J12</f>
        <v>36835966.85429688</v>
      </c>
      <c r="K20" s="637"/>
      <c r="L20" s="636">
        <f>L19+L12</f>
        <v>698993.1028888889</v>
      </c>
      <c r="M20" s="638">
        <f>M12+M19</f>
        <v>221015801.12578124</v>
      </c>
      <c r="N20" s="638">
        <f>N12+N19</f>
        <v>218918821.81711456</v>
      </c>
      <c r="O20" s="639" t="s">
        <v>25</v>
      </c>
      <c r="P20" s="625">
        <f>P12+P19</f>
        <v>221015801.12578124</v>
      </c>
      <c r="Q20" s="625">
        <f>Q12+Q19</f>
        <v>0</v>
      </c>
      <c r="R20" s="625">
        <f>R12+R19</f>
        <v>0</v>
      </c>
      <c r="S20" s="625">
        <f>S12+S19</f>
        <v>0</v>
      </c>
      <c r="T20" s="625">
        <f>T12+T19</f>
        <v>221015801.12578124</v>
      </c>
      <c r="U20" s="608">
        <v>13227215.17992776</v>
      </c>
      <c r="V20" s="625">
        <f aca="true" t="shared" si="2" ref="V20:AE20">V12+V19</f>
        <v>36835966.85429688</v>
      </c>
      <c r="W20" s="625">
        <f t="shared" si="2"/>
        <v>0</v>
      </c>
      <c r="X20" s="625">
        <f t="shared" si="2"/>
        <v>0</v>
      </c>
      <c r="Y20" s="625">
        <f t="shared" si="2"/>
        <v>0</v>
      </c>
      <c r="Z20" s="625">
        <f t="shared" si="2"/>
        <v>36835966.85429688</v>
      </c>
      <c r="AA20" s="625">
        <f t="shared" si="2"/>
        <v>698993.1028888889</v>
      </c>
      <c r="AB20" s="625">
        <f t="shared" si="2"/>
        <v>0</v>
      </c>
      <c r="AC20" s="625">
        <f t="shared" si="2"/>
        <v>0</v>
      </c>
      <c r="AD20" s="625">
        <f t="shared" si="2"/>
        <v>0</v>
      </c>
      <c r="AE20" s="625">
        <f t="shared" si="2"/>
        <v>698993.1028888889</v>
      </c>
      <c r="AF20" s="640"/>
      <c r="AG20" s="835"/>
      <c r="AH20" s="835"/>
      <c r="AI20" s="835"/>
      <c r="AJ20" s="835"/>
      <c r="AK20" s="835"/>
      <c r="AL20" s="821"/>
      <c r="AM20" s="819"/>
      <c r="AN20" s="820"/>
      <c r="AO20" s="820"/>
      <c r="AP20" s="821"/>
      <c r="AQ20" s="836"/>
      <c r="AR20" s="820"/>
      <c r="AS20" s="820"/>
      <c r="AT20" s="820"/>
      <c r="AU20" s="820"/>
      <c r="AV20" s="820"/>
      <c r="AW20" s="820"/>
      <c r="AX20" s="820"/>
      <c r="AY20" s="820"/>
      <c r="AZ20" s="820"/>
      <c r="BA20" s="820"/>
      <c r="BB20" s="820"/>
      <c r="BC20" s="820"/>
      <c r="BD20" s="820"/>
      <c r="BE20" s="820"/>
      <c r="BF20" s="820"/>
      <c r="BG20" s="820"/>
      <c r="BH20" s="820"/>
      <c r="BI20" s="820"/>
      <c r="BJ20" s="820"/>
      <c r="BK20" s="820"/>
      <c r="BL20" s="820"/>
      <c r="BM20" s="820"/>
      <c r="BN20" s="820"/>
      <c r="BO20" s="820"/>
      <c r="BP20" s="820"/>
      <c r="BQ20" s="820"/>
      <c r="BR20" s="820"/>
      <c r="BS20" s="820"/>
      <c r="BT20" s="820"/>
      <c r="BU20" s="820"/>
      <c r="BV20" s="820"/>
      <c r="BW20" s="820"/>
      <c r="BX20" s="820"/>
      <c r="BY20" s="820"/>
      <c r="BZ20" s="820"/>
      <c r="CA20" s="820"/>
      <c r="CB20" s="820"/>
      <c r="CC20" s="820"/>
      <c r="CD20" s="820"/>
      <c r="CE20" s="820"/>
      <c r="CF20" s="820"/>
      <c r="CG20" s="820"/>
      <c r="CH20" s="820"/>
      <c r="CI20" s="820"/>
      <c r="CJ20" s="820"/>
      <c r="CK20" s="820"/>
      <c r="CL20" s="820"/>
      <c r="CM20" s="820"/>
      <c r="CN20" s="820"/>
      <c r="CO20" s="820"/>
      <c r="CP20" s="820"/>
      <c r="CQ20" s="820"/>
      <c r="CR20" s="820"/>
      <c r="CS20" s="820"/>
      <c r="CT20" s="820"/>
      <c r="CU20" s="820"/>
      <c r="CV20" s="820"/>
      <c r="CW20" s="820"/>
      <c r="CX20" s="820"/>
      <c r="CY20" s="820"/>
      <c r="CZ20" s="820"/>
      <c r="DA20" s="820"/>
      <c r="DB20" s="820"/>
      <c r="DC20" s="820"/>
      <c r="DD20" s="820"/>
      <c r="DE20" s="820"/>
      <c r="DF20" s="820"/>
      <c r="DG20" s="820"/>
      <c r="DH20" s="820"/>
      <c r="DI20" s="820"/>
      <c r="DJ20" s="820"/>
      <c r="DK20" s="820"/>
      <c r="DL20" s="820"/>
      <c r="DM20" s="820"/>
      <c r="DN20" s="820"/>
      <c r="DO20" s="820"/>
      <c r="DP20" s="820"/>
      <c r="DQ20" s="820"/>
      <c r="DR20" s="820"/>
      <c r="DS20" s="820"/>
      <c r="DT20" s="820"/>
      <c r="DU20" s="820"/>
      <c r="DV20" s="820"/>
      <c r="DW20" s="820"/>
      <c r="DX20" s="820"/>
      <c r="DY20" s="820"/>
      <c r="DZ20" s="820"/>
      <c r="EA20" s="820"/>
      <c r="EB20" s="820"/>
      <c r="EC20" s="820"/>
      <c r="ED20" s="820"/>
      <c r="EE20" s="820"/>
      <c r="EF20" s="820"/>
      <c r="EG20" s="820"/>
      <c r="EH20" s="820"/>
      <c r="EI20" s="820"/>
      <c r="EJ20" s="820"/>
    </row>
    <row r="21" spans="1:140" s="567" customFormat="1" ht="31.5">
      <c r="A21" s="557" t="s">
        <v>928</v>
      </c>
      <c r="B21" s="557"/>
      <c r="C21" s="557"/>
      <c r="D21" s="557"/>
      <c r="E21" s="557"/>
      <c r="F21" s="558"/>
      <c r="G21" s="559"/>
      <c r="H21" s="560"/>
      <c r="I21" s="561"/>
      <c r="J21" s="561"/>
      <c r="K21" s="562"/>
      <c r="L21" s="562"/>
      <c r="M21" s="563"/>
      <c r="N21" s="563"/>
      <c r="O21" s="564"/>
      <c r="P21" s="563"/>
      <c r="Q21" s="563"/>
      <c r="R21" s="563"/>
      <c r="S21" s="563"/>
      <c r="T21" s="563"/>
      <c r="U21" s="608"/>
      <c r="V21" s="608"/>
      <c r="W21" s="608"/>
      <c r="X21" s="608"/>
      <c r="Y21" s="608"/>
      <c r="Z21" s="608"/>
      <c r="AA21" s="608"/>
      <c r="AB21" s="608"/>
      <c r="AC21" s="608"/>
      <c r="AD21" s="608"/>
      <c r="AE21" s="608"/>
      <c r="AF21" s="566"/>
      <c r="AG21" s="578"/>
      <c r="AH21" s="578"/>
      <c r="AI21" s="578"/>
      <c r="AJ21" s="578"/>
      <c r="AK21" s="578"/>
      <c r="AL21" s="579"/>
      <c r="AM21" s="580"/>
      <c r="AN21" s="581"/>
      <c r="AO21" s="581"/>
      <c r="AP21" s="579"/>
      <c r="AQ21" s="582"/>
      <c r="AR21" s="581"/>
      <c r="AS21" s="581"/>
      <c r="AT21" s="581"/>
      <c r="AU21" s="581"/>
      <c r="AV21" s="581"/>
      <c r="AW21" s="581"/>
      <c r="AX21" s="581"/>
      <c r="AY21" s="581"/>
      <c r="AZ21" s="581"/>
      <c r="BA21" s="581"/>
      <c r="BB21" s="581"/>
      <c r="BC21" s="581"/>
      <c r="BD21" s="581"/>
      <c r="BE21" s="581"/>
      <c r="BF21" s="581"/>
      <c r="BG21" s="581"/>
      <c r="BH21" s="581"/>
      <c r="BI21" s="581"/>
      <c r="BJ21" s="581"/>
      <c r="BK21" s="581"/>
      <c r="BL21" s="581"/>
      <c r="BM21" s="581"/>
      <c r="BN21" s="581"/>
      <c r="BO21" s="581"/>
      <c r="BP21" s="581"/>
      <c r="BQ21" s="581"/>
      <c r="BR21" s="581"/>
      <c r="BS21" s="581"/>
      <c r="BT21" s="581"/>
      <c r="BU21" s="581"/>
      <c r="BV21" s="581"/>
      <c r="BW21" s="581"/>
      <c r="BX21" s="581"/>
      <c r="BY21" s="581"/>
      <c r="BZ21" s="581"/>
      <c r="CA21" s="581"/>
      <c r="CB21" s="581"/>
      <c r="CC21" s="581"/>
      <c r="CD21" s="581"/>
      <c r="CE21" s="581"/>
      <c r="CF21" s="581"/>
      <c r="CG21" s="581"/>
      <c r="CH21" s="581"/>
      <c r="CI21" s="581"/>
      <c r="CJ21" s="581"/>
      <c r="CK21" s="581"/>
      <c r="CL21" s="581"/>
      <c r="CM21" s="581"/>
      <c r="CN21" s="581"/>
      <c r="CO21" s="581"/>
      <c r="CP21" s="581"/>
      <c r="CQ21" s="581"/>
      <c r="CR21" s="581"/>
      <c r="CS21" s="581"/>
      <c r="CT21" s="581"/>
      <c r="CU21" s="581"/>
      <c r="CV21" s="581"/>
      <c r="CW21" s="581"/>
      <c r="CX21" s="581"/>
      <c r="CY21" s="581"/>
      <c r="CZ21" s="581"/>
      <c r="DA21" s="581"/>
      <c r="DB21" s="581"/>
      <c r="DC21" s="581"/>
      <c r="DD21" s="581"/>
      <c r="DE21" s="581"/>
      <c r="DF21" s="581"/>
      <c r="DG21" s="581"/>
      <c r="DH21" s="581"/>
      <c r="DI21" s="581"/>
      <c r="DJ21" s="581"/>
      <c r="DK21" s="581"/>
      <c r="DL21" s="581"/>
      <c r="DM21" s="581"/>
      <c r="DN21" s="581"/>
      <c r="DO21" s="581"/>
      <c r="DP21" s="581"/>
      <c r="DQ21" s="581"/>
      <c r="DR21" s="581"/>
      <c r="DS21" s="581"/>
      <c r="DT21" s="581"/>
      <c r="DU21" s="581"/>
      <c r="DV21" s="581"/>
      <c r="DW21" s="581"/>
      <c r="DX21" s="581"/>
      <c r="DY21" s="581"/>
      <c r="DZ21" s="581"/>
      <c r="EA21" s="581"/>
      <c r="EB21" s="581"/>
      <c r="EC21" s="581"/>
      <c r="ED21" s="581"/>
      <c r="EE21" s="581"/>
      <c r="EF21" s="581"/>
      <c r="EG21" s="581"/>
      <c r="EH21" s="581"/>
      <c r="EI21" s="581"/>
      <c r="EJ21" s="581"/>
    </row>
    <row r="22" spans="1:140" ht="120">
      <c r="A22" s="600" t="s">
        <v>33</v>
      </c>
      <c r="B22" s="763" t="s">
        <v>945</v>
      </c>
      <c r="C22" s="842" t="s">
        <v>683</v>
      </c>
      <c r="D22" s="600"/>
      <c r="E22" s="600" t="s">
        <v>16</v>
      </c>
      <c r="F22" s="583">
        <v>240</v>
      </c>
      <c r="G22" s="584">
        <f>'Reference Data'!$B$6+('Reference Data'!$B$6*0.5)+'Reference Data'!E66+'Reference Data'!E63</f>
        <v>68423.84</v>
      </c>
      <c r="H22" s="643">
        <f aca="true" t="shared" si="3" ref="H22:H28">(G22*F22)*0.05</f>
        <v>821086.0800000001</v>
      </c>
      <c r="I22" s="586">
        <f aca="true" t="shared" si="4" ref="I22:I29">J22/G22</f>
        <v>12</v>
      </c>
      <c r="J22" s="587">
        <f aca="true" t="shared" si="5" ref="J22:J29">M22/BudgetYears</f>
        <v>821086.08</v>
      </c>
      <c r="K22" s="644">
        <v>20</v>
      </c>
      <c r="L22" s="607">
        <f aca="true" t="shared" si="6" ref="L22:L29">(USFInternal)*J22</f>
        <v>574760.2559999999</v>
      </c>
      <c r="M22" s="590">
        <f aca="true" t="shared" si="7" ref="M22:M29">(F22*G22)*(BudgetYears/K22)</f>
        <v>4926516.4799999995</v>
      </c>
      <c r="N22" s="590">
        <f aca="true" t="shared" si="8" ref="N22:N29">(M22)-(L22*3)</f>
        <v>3202235.712</v>
      </c>
      <c r="O22" s="591" t="s">
        <v>34</v>
      </c>
      <c r="P22" s="590">
        <f aca="true" t="shared" si="9" ref="P22:P29">IF($O22="S/L or L",$M22,0)</f>
        <v>0</v>
      </c>
      <c r="Q22" s="590">
        <f aca="true" t="shared" si="10" ref="Q22:Q29">IF($O22="L",$M22,0)</f>
        <v>0</v>
      </c>
      <c r="R22" s="590">
        <f aca="true" t="shared" si="11" ref="R22:R29">IF($O22="S",$M22,0)</f>
        <v>0</v>
      </c>
      <c r="S22" s="590">
        <f aca="true" t="shared" si="12" ref="S22:S29">IF($O22="F",$M22,0)</f>
        <v>4926516.4799999995</v>
      </c>
      <c r="T22" s="590">
        <f aca="true" t="shared" si="13" ref="T22:T29">SUM(P22:S22)</f>
        <v>4926516.4799999995</v>
      </c>
      <c r="U22" s="608" t="s">
        <v>25</v>
      </c>
      <c r="V22" s="590">
        <f aca="true" t="shared" si="14" ref="V22:V29">IF($O22="S/L or L",$J22,0)</f>
        <v>0</v>
      </c>
      <c r="W22" s="590">
        <f aca="true" t="shared" si="15" ref="W22:W29">IF($O22="L",$J22,0)</f>
        <v>0</v>
      </c>
      <c r="X22" s="590">
        <f aca="true" t="shared" si="16" ref="X22:X29">IF($O22="S",$J22,0)</f>
        <v>0</v>
      </c>
      <c r="Y22" s="590">
        <f aca="true" t="shared" si="17" ref="Y22:Y29">IF($O22="F",$J22,0)</f>
        <v>821086.08</v>
      </c>
      <c r="Z22" s="593">
        <f aca="true" t="shared" si="18" ref="Z22:Z29">SUM(V22:Y22)</f>
        <v>821086.08</v>
      </c>
      <c r="AA22" s="590">
        <f aca="true" t="shared" si="19" ref="AA22:AA29">IF($O22="S/L or L",$L22,0)</f>
        <v>0</v>
      </c>
      <c r="AB22" s="590">
        <f aca="true" t="shared" si="20" ref="AB22:AB29">IF($O22="L",$L22,0)</f>
        <v>0</v>
      </c>
      <c r="AC22" s="590">
        <f aca="true" t="shared" si="21" ref="AC22:AC29">IF($O22="S",$L22,0)</f>
        <v>0</v>
      </c>
      <c r="AD22" s="590">
        <f aca="true" t="shared" si="22" ref="AD22:AD29">IF($O22="F",$L22,0)</f>
        <v>574760.2559999999</v>
      </c>
      <c r="AE22" s="593">
        <f aca="true" t="shared" si="23" ref="AE22:AE29">SUM(AA22:AD22)</f>
        <v>574760.2559999999</v>
      </c>
      <c r="AG22" s="578"/>
      <c r="AH22" s="578"/>
      <c r="AI22" s="578"/>
      <c r="AJ22" s="578"/>
      <c r="AK22" s="578"/>
      <c r="AL22" s="579"/>
      <c r="AM22" s="580"/>
      <c r="AN22" s="581"/>
      <c r="AO22" s="581"/>
      <c r="AP22" s="579"/>
      <c r="AQ22" s="582"/>
      <c r="AR22" s="581"/>
      <c r="AS22" s="581"/>
      <c r="AT22" s="581"/>
      <c r="AU22" s="581"/>
      <c r="AV22" s="581"/>
      <c r="AW22" s="581"/>
      <c r="AX22" s="581"/>
      <c r="AY22" s="581"/>
      <c r="AZ22" s="581"/>
      <c r="BA22" s="581"/>
      <c r="BB22" s="581"/>
      <c r="BC22" s="581"/>
      <c r="BD22" s="581"/>
      <c r="BE22" s="581"/>
      <c r="BF22" s="581"/>
      <c r="BG22" s="581"/>
      <c r="BH22" s="581"/>
      <c r="BI22" s="581"/>
      <c r="BJ22" s="581"/>
      <c r="BK22" s="581"/>
      <c r="BL22" s="581"/>
      <c r="BM22" s="581"/>
      <c r="BN22" s="581"/>
      <c r="BO22" s="581"/>
      <c r="BP22" s="581"/>
      <c r="BQ22" s="581"/>
      <c r="BR22" s="581"/>
      <c r="BS22" s="581"/>
      <c r="BT22" s="581"/>
      <c r="BU22" s="581"/>
      <c r="BV22" s="581"/>
      <c r="BW22" s="581"/>
      <c r="BX22" s="581"/>
      <c r="BY22" s="581"/>
      <c r="BZ22" s="581"/>
      <c r="CA22" s="581"/>
      <c r="CB22" s="581"/>
      <c r="CC22" s="581"/>
      <c r="CD22" s="581"/>
      <c r="CE22" s="581"/>
      <c r="CF22" s="581"/>
      <c r="CG22" s="581"/>
      <c r="CH22" s="581"/>
      <c r="CI22" s="581"/>
      <c r="CJ22" s="581"/>
      <c r="CK22" s="581"/>
      <c r="CL22" s="581"/>
      <c r="CM22" s="581"/>
      <c r="CN22" s="581"/>
      <c r="CO22" s="581"/>
      <c r="CP22" s="581"/>
      <c r="CQ22" s="581"/>
      <c r="CR22" s="581"/>
      <c r="CS22" s="581"/>
      <c r="CT22" s="581"/>
      <c r="CU22" s="581"/>
      <c r="CV22" s="581"/>
      <c r="CW22" s="581"/>
      <c r="CX22" s="581"/>
      <c r="CY22" s="581"/>
      <c r="CZ22" s="581"/>
      <c r="DA22" s="581"/>
      <c r="DB22" s="581"/>
      <c r="DC22" s="581"/>
      <c r="DD22" s="581"/>
      <c r="DE22" s="581"/>
      <c r="DF22" s="581"/>
      <c r="DG22" s="581"/>
      <c r="DH22" s="581"/>
      <c r="DI22" s="581"/>
      <c r="DJ22" s="581"/>
      <c r="DK22" s="581"/>
      <c r="DL22" s="581"/>
      <c r="DM22" s="581"/>
      <c r="DN22" s="581"/>
      <c r="DO22" s="581"/>
      <c r="DP22" s="581"/>
      <c r="DQ22" s="581"/>
      <c r="DR22" s="581"/>
      <c r="DS22" s="581"/>
      <c r="DT22" s="581"/>
      <c r="DU22" s="581"/>
      <c r="DV22" s="581"/>
      <c r="DW22" s="581"/>
      <c r="DX22" s="581"/>
      <c r="DY22" s="581"/>
      <c r="DZ22" s="581"/>
      <c r="EA22" s="581"/>
      <c r="EB22" s="581"/>
      <c r="EC22" s="581"/>
      <c r="ED22" s="581"/>
      <c r="EE22" s="581"/>
      <c r="EF22" s="581"/>
      <c r="EG22" s="581"/>
      <c r="EH22" s="581"/>
      <c r="EI22" s="581"/>
      <c r="EJ22" s="581"/>
    </row>
    <row r="23" spans="1:140" ht="120">
      <c r="A23" s="600" t="s">
        <v>35</v>
      </c>
      <c r="B23" s="763" t="s">
        <v>945</v>
      </c>
      <c r="C23" s="842" t="s">
        <v>683</v>
      </c>
      <c r="D23" s="600">
        <v>1</v>
      </c>
      <c r="E23" s="754" t="s">
        <v>16</v>
      </c>
      <c r="F23" s="583">
        <v>240</v>
      </c>
      <c r="G23" s="584">
        <f>'Reference Data'!$B$6</f>
        <v>42939</v>
      </c>
      <c r="H23" s="643">
        <f t="shared" si="3"/>
        <v>515268</v>
      </c>
      <c r="I23" s="586">
        <f t="shared" si="4"/>
        <v>12</v>
      </c>
      <c r="J23" s="587">
        <f t="shared" si="5"/>
        <v>515268</v>
      </c>
      <c r="K23" s="644">
        <v>20</v>
      </c>
      <c r="L23" s="607">
        <f t="shared" si="6"/>
        <v>360687.6</v>
      </c>
      <c r="M23" s="590">
        <f t="shared" si="7"/>
        <v>3091608</v>
      </c>
      <c r="N23" s="590">
        <f t="shared" si="8"/>
        <v>2009545.2000000002</v>
      </c>
      <c r="O23" s="591" t="s">
        <v>34</v>
      </c>
      <c r="P23" s="590">
        <f t="shared" si="9"/>
        <v>0</v>
      </c>
      <c r="Q23" s="590">
        <f t="shared" si="10"/>
        <v>0</v>
      </c>
      <c r="R23" s="590">
        <f t="shared" si="11"/>
        <v>0</v>
      </c>
      <c r="S23" s="590">
        <f t="shared" si="12"/>
        <v>3091608</v>
      </c>
      <c r="T23" s="590">
        <f t="shared" si="13"/>
        <v>3091608</v>
      </c>
      <c r="U23" s="608" t="s">
        <v>25</v>
      </c>
      <c r="V23" s="590">
        <f t="shared" si="14"/>
        <v>0</v>
      </c>
      <c r="W23" s="590">
        <f t="shared" si="15"/>
        <v>0</v>
      </c>
      <c r="X23" s="590">
        <f t="shared" si="16"/>
        <v>0</v>
      </c>
      <c r="Y23" s="590">
        <f t="shared" si="17"/>
        <v>515268</v>
      </c>
      <c r="Z23" s="593">
        <f t="shared" si="18"/>
        <v>515268</v>
      </c>
      <c r="AA23" s="590">
        <f t="shared" si="19"/>
        <v>0</v>
      </c>
      <c r="AB23" s="590">
        <f t="shared" si="20"/>
        <v>0</v>
      </c>
      <c r="AC23" s="590">
        <f t="shared" si="21"/>
        <v>0</v>
      </c>
      <c r="AD23" s="590">
        <f t="shared" si="22"/>
        <v>360687.6</v>
      </c>
      <c r="AE23" s="593">
        <f t="shared" si="23"/>
        <v>360687.6</v>
      </c>
      <c r="AG23" s="578"/>
      <c r="AH23" s="578"/>
      <c r="AI23" s="578"/>
      <c r="AJ23" s="578"/>
      <c r="AK23" s="578"/>
      <c r="AL23" s="579"/>
      <c r="AM23" s="580"/>
      <c r="AN23" s="581"/>
      <c r="AO23" s="581"/>
      <c r="AP23" s="579"/>
      <c r="AQ23" s="582"/>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1"/>
      <c r="EA23" s="581"/>
      <c r="EB23" s="581"/>
      <c r="EC23" s="581"/>
      <c r="ED23" s="581"/>
      <c r="EE23" s="581"/>
      <c r="EF23" s="581"/>
      <c r="EG23" s="581"/>
      <c r="EH23" s="581"/>
      <c r="EI23" s="581"/>
      <c r="EJ23" s="581"/>
    </row>
    <row r="24" spans="1:140" ht="120">
      <c r="A24" s="600" t="s">
        <v>36</v>
      </c>
      <c r="B24" s="763" t="s">
        <v>945</v>
      </c>
      <c r="C24" s="842" t="s">
        <v>683</v>
      </c>
      <c r="D24" s="600">
        <v>1</v>
      </c>
      <c r="E24" s="754" t="s">
        <v>16</v>
      </c>
      <c r="F24" s="583">
        <v>240</v>
      </c>
      <c r="G24" s="584">
        <f>'Reference Data'!$B$6</f>
        <v>42939</v>
      </c>
      <c r="H24" s="643">
        <f t="shared" si="3"/>
        <v>515268</v>
      </c>
      <c r="I24" s="586">
        <f t="shared" si="4"/>
        <v>12</v>
      </c>
      <c r="J24" s="587">
        <f t="shared" si="5"/>
        <v>515268</v>
      </c>
      <c r="K24" s="644">
        <v>20</v>
      </c>
      <c r="L24" s="607">
        <f t="shared" si="6"/>
        <v>360687.6</v>
      </c>
      <c r="M24" s="590">
        <f t="shared" si="7"/>
        <v>3091608</v>
      </c>
      <c r="N24" s="590">
        <f t="shared" si="8"/>
        <v>2009545.2000000002</v>
      </c>
      <c r="O24" s="591" t="s">
        <v>34</v>
      </c>
      <c r="P24" s="590">
        <f t="shared" si="9"/>
        <v>0</v>
      </c>
      <c r="Q24" s="590">
        <f t="shared" si="10"/>
        <v>0</v>
      </c>
      <c r="R24" s="590">
        <f t="shared" si="11"/>
        <v>0</v>
      </c>
      <c r="S24" s="590">
        <f t="shared" si="12"/>
        <v>3091608</v>
      </c>
      <c r="T24" s="590">
        <f t="shared" si="13"/>
        <v>3091608</v>
      </c>
      <c r="U24" s="608" t="s">
        <v>25</v>
      </c>
      <c r="V24" s="590">
        <f t="shared" si="14"/>
        <v>0</v>
      </c>
      <c r="W24" s="590">
        <f t="shared" si="15"/>
        <v>0</v>
      </c>
      <c r="X24" s="590">
        <f t="shared" si="16"/>
        <v>0</v>
      </c>
      <c r="Y24" s="590">
        <f t="shared" si="17"/>
        <v>515268</v>
      </c>
      <c r="Z24" s="593">
        <f t="shared" si="18"/>
        <v>515268</v>
      </c>
      <c r="AA24" s="590">
        <f t="shared" si="19"/>
        <v>0</v>
      </c>
      <c r="AB24" s="590">
        <f t="shared" si="20"/>
        <v>0</v>
      </c>
      <c r="AC24" s="590">
        <f t="shared" si="21"/>
        <v>0</v>
      </c>
      <c r="AD24" s="590">
        <f t="shared" si="22"/>
        <v>360687.6</v>
      </c>
      <c r="AE24" s="593">
        <f t="shared" si="23"/>
        <v>360687.6</v>
      </c>
      <c r="AG24" s="578"/>
      <c r="AH24" s="578"/>
      <c r="AI24" s="578"/>
      <c r="AJ24" s="578"/>
      <c r="AK24" s="578"/>
      <c r="AL24" s="579"/>
      <c r="AM24" s="580"/>
      <c r="AN24" s="581"/>
      <c r="AO24" s="581"/>
      <c r="AP24" s="579"/>
      <c r="AQ24" s="582"/>
      <c r="AR24" s="581"/>
      <c r="AS24" s="581"/>
      <c r="AT24" s="581"/>
      <c r="AU24" s="581"/>
      <c r="AV24" s="581"/>
      <c r="AW24" s="581"/>
      <c r="AX24" s="581"/>
      <c r="AY24" s="581"/>
      <c r="AZ24" s="581"/>
      <c r="BA24" s="581"/>
      <c r="BB24" s="581"/>
      <c r="BC24" s="581"/>
      <c r="BD24" s="581"/>
      <c r="BE24" s="581"/>
      <c r="BF24" s="581"/>
      <c r="BG24" s="581"/>
      <c r="BH24" s="581"/>
      <c r="BI24" s="581"/>
      <c r="BJ24" s="581"/>
      <c r="BK24" s="581"/>
      <c r="BL24" s="581"/>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1"/>
      <c r="EH24" s="581"/>
      <c r="EI24" s="581"/>
      <c r="EJ24" s="581"/>
    </row>
    <row r="25" spans="1:140" ht="120">
      <c r="A25" s="600" t="s">
        <v>37</v>
      </c>
      <c r="B25" s="763" t="s">
        <v>945</v>
      </c>
      <c r="C25" s="842" t="s">
        <v>683</v>
      </c>
      <c r="D25" s="600">
        <v>1.5</v>
      </c>
      <c r="E25" s="754" t="s">
        <v>689</v>
      </c>
      <c r="F25" s="583">
        <v>240</v>
      </c>
      <c r="G25" s="584">
        <f>'Reference Data'!E36+('Reference Data'!E36*0.5)</f>
        <v>296588.5315</v>
      </c>
      <c r="H25" s="643">
        <f t="shared" si="3"/>
        <v>3559062.3780000005</v>
      </c>
      <c r="I25" s="586">
        <f t="shared" si="4"/>
        <v>12</v>
      </c>
      <c r="J25" s="587">
        <f t="shared" si="5"/>
        <v>3559062.378</v>
      </c>
      <c r="K25" s="644">
        <v>20</v>
      </c>
      <c r="L25" s="607">
        <f t="shared" si="6"/>
        <v>2491343.6646</v>
      </c>
      <c r="M25" s="590">
        <f t="shared" si="7"/>
        <v>21354374.268</v>
      </c>
      <c r="N25" s="590">
        <f t="shared" si="8"/>
        <v>13880343.2742</v>
      </c>
      <c r="O25" s="591" t="s">
        <v>34</v>
      </c>
      <c r="P25" s="590">
        <f t="shared" si="9"/>
        <v>0</v>
      </c>
      <c r="Q25" s="590">
        <f t="shared" si="10"/>
        <v>0</v>
      </c>
      <c r="R25" s="590">
        <f t="shared" si="11"/>
        <v>0</v>
      </c>
      <c r="S25" s="590">
        <f t="shared" si="12"/>
        <v>21354374.268</v>
      </c>
      <c r="T25" s="590">
        <f t="shared" si="13"/>
        <v>21354374.268</v>
      </c>
      <c r="U25" s="608" t="s">
        <v>25</v>
      </c>
      <c r="V25" s="590">
        <f t="shared" si="14"/>
        <v>0</v>
      </c>
      <c r="W25" s="590">
        <f t="shared" si="15"/>
        <v>0</v>
      </c>
      <c r="X25" s="590">
        <f t="shared" si="16"/>
        <v>0</v>
      </c>
      <c r="Y25" s="590">
        <f t="shared" si="17"/>
        <v>3559062.378</v>
      </c>
      <c r="Z25" s="593">
        <f t="shared" si="18"/>
        <v>3559062.378</v>
      </c>
      <c r="AA25" s="590">
        <f t="shared" si="19"/>
        <v>0</v>
      </c>
      <c r="AB25" s="590">
        <f t="shared" si="20"/>
        <v>0</v>
      </c>
      <c r="AC25" s="590">
        <f t="shared" si="21"/>
        <v>0</v>
      </c>
      <c r="AD25" s="590">
        <f t="shared" si="22"/>
        <v>2491343.6646</v>
      </c>
      <c r="AE25" s="593">
        <f t="shared" si="23"/>
        <v>2491343.6646</v>
      </c>
      <c r="AG25" s="578"/>
      <c r="AH25" s="578"/>
      <c r="AI25" s="578"/>
      <c r="AJ25" s="578"/>
      <c r="AK25" s="578"/>
      <c r="AL25" s="579"/>
      <c r="AM25" s="580"/>
      <c r="AN25" s="581"/>
      <c r="AO25" s="581"/>
      <c r="AP25" s="579"/>
      <c r="AQ25" s="582"/>
      <c r="AR25" s="581"/>
      <c r="AS25" s="581"/>
      <c r="AT25" s="581"/>
      <c r="AU25" s="581"/>
      <c r="AV25" s="581"/>
      <c r="AW25" s="581"/>
      <c r="AX25" s="581"/>
      <c r="AY25" s="581"/>
      <c r="AZ25" s="581"/>
      <c r="BA25" s="581"/>
      <c r="BB25" s="581"/>
      <c r="BC25" s="581"/>
      <c r="BD25" s="581"/>
      <c r="BE25" s="581"/>
      <c r="BF25" s="581"/>
      <c r="BG25" s="581"/>
      <c r="BH25" s="581"/>
      <c r="BI25" s="581"/>
      <c r="BJ25" s="581"/>
      <c r="BK25" s="581"/>
      <c r="BL25" s="581"/>
      <c r="BM25" s="581"/>
      <c r="BN25" s="581"/>
      <c r="BO25" s="581"/>
      <c r="BP25" s="581"/>
      <c r="BQ25" s="581"/>
      <c r="BR25" s="581"/>
      <c r="BS25" s="581"/>
      <c r="BT25" s="581"/>
      <c r="BU25" s="581"/>
      <c r="BV25" s="581"/>
      <c r="BW25" s="581"/>
      <c r="BX25" s="581"/>
      <c r="BY25" s="581"/>
      <c r="BZ25" s="581"/>
      <c r="CA25" s="581"/>
      <c r="CB25" s="581"/>
      <c r="CC25" s="581"/>
      <c r="CD25" s="581"/>
      <c r="CE25" s="581"/>
      <c r="CF25" s="581"/>
      <c r="CG25" s="581"/>
      <c r="CH25" s="581"/>
      <c r="CI25" s="581"/>
      <c r="CJ25" s="581"/>
      <c r="CK25" s="581"/>
      <c r="CL25" s="581"/>
      <c r="CM25" s="581"/>
      <c r="CN25" s="581"/>
      <c r="CO25" s="581"/>
      <c r="CP25" s="581"/>
      <c r="CQ25" s="581"/>
      <c r="CR25" s="581"/>
      <c r="CS25" s="581"/>
      <c r="CT25" s="581"/>
      <c r="CU25" s="581"/>
      <c r="CV25" s="581"/>
      <c r="CW25" s="581"/>
      <c r="CX25" s="581"/>
      <c r="CY25" s="581"/>
      <c r="CZ25" s="581"/>
      <c r="DA25" s="581"/>
      <c r="DB25" s="581"/>
      <c r="DC25" s="581"/>
      <c r="DD25" s="581"/>
      <c r="DE25" s="581"/>
      <c r="DF25" s="581"/>
      <c r="DG25" s="581"/>
      <c r="DH25" s="581"/>
      <c r="DI25" s="581"/>
      <c r="DJ25" s="581"/>
      <c r="DK25" s="581"/>
      <c r="DL25" s="581"/>
      <c r="DM25" s="581"/>
      <c r="DN25" s="581"/>
      <c r="DO25" s="581"/>
      <c r="DP25" s="581"/>
      <c r="DQ25" s="581"/>
      <c r="DR25" s="581"/>
      <c r="DS25" s="581"/>
      <c r="DT25" s="581"/>
      <c r="DU25" s="581"/>
      <c r="DV25" s="581"/>
      <c r="DW25" s="581"/>
      <c r="DX25" s="581"/>
      <c r="DY25" s="581"/>
      <c r="DZ25" s="581"/>
      <c r="EA25" s="581"/>
      <c r="EB25" s="581"/>
      <c r="EC25" s="581"/>
      <c r="ED25" s="581"/>
      <c r="EE25" s="581"/>
      <c r="EF25" s="581"/>
      <c r="EG25" s="581"/>
      <c r="EH25" s="581"/>
      <c r="EI25" s="581"/>
      <c r="EJ25" s="581"/>
    </row>
    <row r="26" spans="1:140" ht="120">
      <c r="A26" s="600" t="s">
        <v>38</v>
      </c>
      <c r="B26" s="763" t="s">
        <v>945</v>
      </c>
      <c r="C26" s="842" t="s">
        <v>683</v>
      </c>
      <c r="D26" s="600" t="s">
        <v>684</v>
      </c>
      <c r="E26" s="754" t="s">
        <v>688</v>
      </c>
      <c r="F26" s="645">
        <v>240</v>
      </c>
      <c r="G26" s="584">
        <f>'Reference Data'!$E$72+('Reference Data'!$E$72*0.5)+'Reference Data'!E84+'Reference Data'!E81+'Reference Data'!B235</f>
        <v>12191.5</v>
      </c>
      <c r="H26" s="643">
        <f t="shared" si="3"/>
        <v>146298</v>
      </c>
      <c r="I26" s="586">
        <f t="shared" si="4"/>
        <v>12</v>
      </c>
      <c r="J26" s="587">
        <f t="shared" si="5"/>
        <v>146298</v>
      </c>
      <c r="K26" s="644">
        <v>20</v>
      </c>
      <c r="L26" s="607">
        <f t="shared" si="6"/>
        <v>102408.59999999999</v>
      </c>
      <c r="M26" s="590">
        <f t="shared" si="7"/>
        <v>877788</v>
      </c>
      <c r="N26" s="590">
        <f t="shared" si="8"/>
        <v>570562.2</v>
      </c>
      <c r="O26" s="591" t="s">
        <v>34</v>
      </c>
      <c r="P26" s="590">
        <f t="shared" si="9"/>
        <v>0</v>
      </c>
      <c r="Q26" s="590">
        <f t="shared" si="10"/>
        <v>0</v>
      </c>
      <c r="R26" s="590">
        <f t="shared" si="11"/>
        <v>0</v>
      </c>
      <c r="S26" s="590">
        <f t="shared" si="12"/>
        <v>877788</v>
      </c>
      <c r="T26" s="590">
        <f t="shared" si="13"/>
        <v>877788</v>
      </c>
      <c r="U26" s="608" t="s">
        <v>25</v>
      </c>
      <c r="V26" s="590">
        <f t="shared" si="14"/>
        <v>0</v>
      </c>
      <c r="W26" s="590">
        <f t="shared" si="15"/>
        <v>0</v>
      </c>
      <c r="X26" s="590">
        <f t="shared" si="16"/>
        <v>0</v>
      </c>
      <c r="Y26" s="590">
        <f t="shared" si="17"/>
        <v>146298</v>
      </c>
      <c r="Z26" s="593">
        <f t="shared" si="18"/>
        <v>146298</v>
      </c>
      <c r="AA26" s="590">
        <f t="shared" si="19"/>
        <v>0</v>
      </c>
      <c r="AB26" s="590">
        <f t="shared" si="20"/>
        <v>0</v>
      </c>
      <c r="AC26" s="590">
        <f t="shared" si="21"/>
        <v>0</v>
      </c>
      <c r="AD26" s="590">
        <f t="shared" si="22"/>
        <v>102408.59999999999</v>
      </c>
      <c r="AE26" s="593">
        <f t="shared" si="23"/>
        <v>102408.59999999999</v>
      </c>
      <c r="AG26" s="578"/>
      <c r="AH26" s="578"/>
      <c r="AI26" s="578"/>
      <c r="AJ26" s="578"/>
      <c r="AK26" s="578"/>
      <c r="AL26" s="579"/>
      <c r="AM26" s="580"/>
      <c r="AN26" s="581"/>
      <c r="AO26" s="581"/>
      <c r="AP26" s="579"/>
      <c r="AQ26" s="582"/>
      <c r="AR26" s="581"/>
      <c r="AS26" s="581"/>
      <c r="AT26" s="581"/>
      <c r="AU26" s="581"/>
      <c r="AV26" s="581"/>
      <c r="AW26" s="581"/>
      <c r="AX26" s="581"/>
      <c r="AY26" s="581"/>
      <c r="AZ26" s="581"/>
      <c r="BA26" s="581"/>
      <c r="BB26" s="581"/>
      <c r="BC26" s="581"/>
      <c r="BD26" s="581"/>
      <c r="BE26" s="581"/>
      <c r="BF26" s="581"/>
      <c r="BG26" s="581"/>
      <c r="BH26" s="581"/>
      <c r="BI26" s="581"/>
      <c r="BJ26" s="581"/>
      <c r="BK26" s="581"/>
      <c r="BL26" s="581"/>
      <c r="BM26" s="581"/>
      <c r="BN26" s="581"/>
      <c r="BO26" s="581"/>
      <c r="BP26" s="581"/>
      <c r="BQ26" s="581"/>
      <c r="BR26" s="581"/>
      <c r="BS26" s="581"/>
      <c r="BT26" s="581"/>
      <c r="BU26" s="581"/>
      <c r="BV26" s="581"/>
      <c r="BW26" s="581"/>
      <c r="BX26" s="581"/>
      <c r="BY26" s="581"/>
      <c r="BZ26" s="581"/>
      <c r="CA26" s="581"/>
      <c r="CB26" s="581"/>
      <c r="CC26" s="581"/>
      <c r="CD26" s="581"/>
      <c r="CE26" s="581"/>
      <c r="CF26" s="581"/>
      <c r="CG26" s="581"/>
      <c r="CH26" s="581"/>
      <c r="CI26" s="581"/>
      <c r="CJ26" s="581"/>
      <c r="CK26" s="581"/>
      <c r="CL26" s="581"/>
      <c r="CM26" s="581"/>
      <c r="CN26" s="581"/>
      <c r="CO26" s="581"/>
      <c r="CP26" s="581"/>
      <c r="CQ26" s="581"/>
      <c r="CR26" s="581"/>
      <c r="CS26" s="581"/>
      <c r="CT26" s="581"/>
      <c r="CU26" s="581"/>
      <c r="CV26" s="581"/>
      <c r="CW26" s="581"/>
      <c r="CX26" s="581"/>
      <c r="CY26" s="581"/>
      <c r="CZ26" s="581"/>
      <c r="DA26" s="581"/>
      <c r="DB26" s="581"/>
      <c r="DC26" s="581"/>
      <c r="DD26" s="581"/>
      <c r="DE26" s="581"/>
      <c r="DF26" s="581"/>
      <c r="DG26" s="581"/>
      <c r="DH26" s="581"/>
      <c r="DI26" s="581"/>
      <c r="DJ26" s="581"/>
      <c r="DK26" s="581"/>
      <c r="DL26" s="581"/>
      <c r="DM26" s="581"/>
      <c r="DN26" s="581"/>
      <c r="DO26" s="581"/>
      <c r="DP26" s="581"/>
      <c r="DQ26" s="581"/>
      <c r="DR26" s="581"/>
      <c r="DS26" s="581"/>
      <c r="DT26" s="581"/>
      <c r="DU26" s="581"/>
      <c r="DV26" s="581"/>
      <c r="DW26" s="581"/>
      <c r="DX26" s="581"/>
      <c r="DY26" s="581"/>
      <c r="DZ26" s="581"/>
      <c r="EA26" s="581"/>
      <c r="EB26" s="581"/>
      <c r="EC26" s="581"/>
      <c r="ED26" s="581"/>
      <c r="EE26" s="581"/>
      <c r="EF26" s="581"/>
      <c r="EG26" s="581"/>
      <c r="EH26" s="581"/>
      <c r="EI26" s="581"/>
      <c r="EJ26" s="581"/>
    </row>
    <row r="27" spans="1:140" ht="120">
      <c r="A27" s="600" t="s">
        <v>39</v>
      </c>
      <c r="B27" s="763" t="s">
        <v>945</v>
      </c>
      <c r="C27" s="842" t="s">
        <v>683</v>
      </c>
      <c r="D27" s="600">
        <v>2</v>
      </c>
      <c r="E27" s="754" t="s">
        <v>350</v>
      </c>
      <c r="F27" s="645">
        <v>240</v>
      </c>
      <c r="G27" s="584">
        <f>'Reference Data'!B3*2</f>
        <v>2494</v>
      </c>
      <c r="H27" s="643">
        <f t="shared" si="3"/>
        <v>29928</v>
      </c>
      <c r="I27" s="586">
        <f t="shared" si="4"/>
        <v>12</v>
      </c>
      <c r="J27" s="587">
        <f t="shared" si="5"/>
        <v>29928</v>
      </c>
      <c r="K27" s="644">
        <v>20</v>
      </c>
      <c r="L27" s="607">
        <f t="shared" si="6"/>
        <v>20949.6</v>
      </c>
      <c r="M27" s="590">
        <f t="shared" si="7"/>
        <v>179568</v>
      </c>
      <c r="N27" s="590">
        <f t="shared" si="8"/>
        <v>116719.20000000001</v>
      </c>
      <c r="O27" s="591" t="s">
        <v>34</v>
      </c>
      <c r="P27" s="590">
        <f t="shared" si="9"/>
        <v>0</v>
      </c>
      <c r="Q27" s="590">
        <f t="shared" si="10"/>
        <v>0</v>
      </c>
      <c r="R27" s="590">
        <f t="shared" si="11"/>
        <v>0</v>
      </c>
      <c r="S27" s="590">
        <f t="shared" si="12"/>
        <v>179568</v>
      </c>
      <c r="T27" s="590">
        <f t="shared" si="13"/>
        <v>179568</v>
      </c>
      <c r="U27" s="608" t="s">
        <v>25</v>
      </c>
      <c r="V27" s="590">
        <f t="shared" si="14"/>
        <v>0</v>
      </c>
      <c r="W27" s="590">
        <f t="shared" si="15"/>
        <v>0</v>
      </c>
      <c r="X27" s="590">
        <f t="shared" si="16"/>
        <v>0</v>
      </c>
      <c r="Y27" s="590">
        <f t="shared" si="17"/>
        <v>29928</v>
      </c>
      <c r="Z27" s="593">
        <f t="shared" si="18"/>
        <v>29928</v>
      </c>
      <c r="AA27" s="590">
        <f t="shared" si="19"/>
        <v>0</v>
      </c>
      <c r="AB27" s="590">
        <f t="shared" si="20"/>
        <v>0</v>
      </c>
      <c r="AC27" s="590">
        <f t="shared" si="21"/>
        <v>0</v>
      </c>
      <c r="AD27" s="590">
        <f t="shared" si="22"/>
        <v>20949.6</v>
      </c>
      <c r="AE27" s="593">
        <f t="shared" si="23"/>
        <v>20949.6</v>
      </c>
      <c r="AG27" s="578"/>
      <c r="AH27" s="578"/>
      <c r="AI27" s="578"/>
      <c r="AJ27" s="578"/>
      <c r="AK27" s="578"/>
      <c r="AL27" s="579"/>
      <c r="AM27" s="580"/>
      <c r="AN27" s="581"/>
      <c r="AO27" s="581"/>
      <c r="AP27" s="579"/>
      <c r="AQ27" s="582"/>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581"/>
      <c r="CG27" s="581"/>
      <c r="CH27" s="581"/>
      <c r="CI27" s="581"/>
      <c r="CJ27" s="581"/>
      <c r="CK27" s="581"/>
      <c r="CL27" s="581"/>
      <c r="CM27" s="581"/>
      <c r="CN27" s="581"/>
      <c r="CO27" s="581"/>
      <c r="CP27" s="581"/>
      <c r="CQ27" s="581"/>
      <c r="CR27" s="581"/>
      <c r="CS27" s="581"/>
      <c r="CT27" s="581"/>
      <c r="CU27" s="581"/>
      <c r="CV27" s="581"/>
      <c r="CW27" s="581"/>
      <c r="CX27" s="581"/>
      <c r="CY27" s="581"/>
      <c r="CZ27" s="581"/>
      <c r="DA27" s="581"/>
      <c r="DB27" s="581"/>
      <c r="DC27" s="581"/>
      <c r="DD27" s="581"/>
      <c r="DE27" s="581"/>
      <c r="DF27" s="581"/>
      <c r="DG27" s="581"/>
      <c r="DH27" s="581"/>
      <c r="DI27" s="581"/>
      <c r="DJ27" s="581"/>
      <c r="DK27" s="581"/>
      <c r="DL27" s="581"/>
      <c r="DM27" s="581"/>
      <c r="DN27" s="581"/>
      <c r="DO27" s="581"/>
      <c r="DP27" s="581"/>
      <c r="DQ27" s="581"/>
      <c r="DR27" s="581"/>
      <c r="DS27" s="581"/>
      <c r="DT27" s="581"/>
      <c r="DU27" s="581"/>
      <c r="DV27" s="581"/>
      <c r="DW27" s="581"/>
      <c r="DX27" s="581"/>
      <c r="DY27" s="581"/>
      <c r="DZ27" s="581"/>
      <c r="EA27" s="581"/>
      <c r="EB27" s="581"/>
      <c r="EC27" s="581"/>
      <c r="ED27" s="581"/>
      <c r="EE27" s="581"/>
      <c r="EF27" s="581"/>
      <c r="EG27" s="581"/>
      <c r="EH27" s="581"/>
      <c r="EI27" s="581"/>
      <c r="EJ27" s="581"/>
    </row>
    <row r="28" spans="1:140" ht="45">
      <c r="A28" s="600" t="s">
        <v>40</v>
      </c>
      <c r="B28" s="600" t="s">
        <v>773</v>
      </c>
      <c r="C28" s="600"/>
      <c r="D28" s="600"/>
      <c r="E28" s="600"/>
      <c r="F28" s="645">
        <v>0</v>
      </c>
      <c r="G28" s="584">
        <f>'Reference Data'!B98</f>
        <v>1914.5</v>
      </c>
      <c r="H28" s="643">
        <f t="shared" si="3"/>
        <v>0</v>
      </c>
      <c r="I28" s="586">
        <f t="shared" si="4"/>
        <v>0</v>
      </c>
      <c r="J28" s="587">
        <f t="shared" si="5"/>
        <v>0</v>
      </c>
      <c r="K28" s="644">
        <v>20</v>
      </c>
      <c r="L28" s="607">
        <f t="shared" si="6"/>
        <v>0</v>
      </c>
      <c r="M28" s="590">
        <f t="shared" si="7"/>
        <v>0</v>
      </c>
      <c r="N28" s="590">
        <f t="shared" si="8"/>
        <v>0</v>
      </c>
      <c r="O28" s="591" t="s">
        <v>34</v>
      </c>
      <c r="P28" s="590">
        <f t="shared" si="9"/>
        <v>0</v>
      </c>
      <c r="Q28" s="590">
        <f t="shared" si="10"/>
        <v>0</v>
      </c>
      <c r="R28" s="590">
        <f t="shared" si="11"/>
        <v>0</v>
      </c>
      <c r="S28" s="590">
        <f t="shared" si="12"/>
        <v>0</v>
      </c>
      <c r="T28" s="590">
        <f t="shared" si="13"/>
        <v>0</v>
      </c>
      <c r="U28" s="608" t="s">
        <v>25</v>
      </c>
      <c r="V28" s="590">
        <f t="shared" si="14"/>
        <v>0</v>
      </c>
      <c r="W28" s="590">
        <f t="shared" si="15"/>
        <v>0</v>
      </c>
      <c r="X28" s="590">
        <f t="shared" si="16"/>
        <v>0</v>
      </c>
      <c r="Y28" s="590">
        <f t="shared" si="17"/>
        <v>0</v>
      </c>
      <c r="Z28" s="593">
        <f t="shared" si="18"/>
        <v>0</v>
      </c>
      <c r="AA28" s="590">
        <f t="shared" si="19"/>
        <v>0</v>
      </c>
      <c r="AB28" s="590">
        <f t="shared" si="20"/>
        <v>0</v>
      </c>
      <c r="AC28" s="590">
        <f t="shared" si="21"/>
        <v>0</v>
      </c>
      <c r="AD28" s="590">
        <f t="shared" si="22"/>
        <v>0</v>
      </c>
      <c r="AE28" s="593">
        <f t="shared" si="23"/>
        <v>0</v>
      </c>
      <c r="AG28" s="578"/>
      <c r="AH28" s="578"/>
      <c r="AI28" s="578"/>
      <c r="AJ28" s="578"/>
      <c r="AK28" s="578"/>
      <c r="AL28" s="579"/>
      <c r="AM28" s="580"/>
      <c r="AN28" s="581"/>
      <c r="AO28" s="581"/>
      <c r="AP28" s="579"/>
      <c r="AQ28" s="582"/>
      <c r="AR28" s="581"/>
      <c r="AS28" s="581"/>
      <c r="AT28" s="581"/>
      <c r="AU28" s="581"/>
      <c r="AV28" s="581"/>
      <c r="AW28" s="581"/>
      <c r="AX28" s="581"/>
      <c r="AY28" s="581"/>
      <c r="AZ28" s="581"/>
      <c r="BA28" s="581"/>
      <c r="BB28" s="581"/>
      <c r="BC28" s="581"/>
      <c r="BD28" s="581"/>
      <c r="BE28" s="581"/>
      <c r="BF28" s="581"/>
      <c r="BG28" s="581"/>
      <c r="BH28" s="581"/>
      <c r="BI28" s="581"/>
      <c r="BJ28" s="581"/>
      <c r="BK28" s="581"/>
      <c r="BL28" s="581"/>
      <c r="BM28" s="581"/>
      <c r="BN28" s="581"/>
      <c r="BO28" s="581"/>
      <c r="BP28" s="581"/>
      <c r="BQ28" s="581"/>
      <c r="BR28" s="581"/>
      <c r="BS28" s="581"/>
      <c r="BT28" s="581"/>
      <c r="BU28" s="581"/>
      <c r="BV28" s="581"/>
      <c r="BW28" s="581"/>
      <c r="BX28" s="581"/>
      <c r="BY28" s="581"/>
      <c r="BZ28" s="581"/>
      <c r="CA28" s="581"/>
      <c r="CB28" s="581"/>
      <c r="CC28" s="581"/>
      <c r="CD28" s="581"/>
      <c r="CE28" s="581"/>
      <c r="CF28" s="581"/>
      <c r="CG28" s="581"/>
      <c r="CH28" s="581"/>
      <c r="CI28" s="581"/>
      <c r="CJ28" s="581"/>
      <c r="CK28" s="581"/>
      <c r="CL28" s="581"/>
      <c r="CM28" s="581"/>
      <c r="CN28" s="581"/>
      <c r="CO28" s="581"/>
      <c r="CP28" s="581"/>
      <c r="CQ28" s="581"/>
      <c r="CR28" s="581"/>
      <c r="CS28" s="581"/>
      <c r="CT28" s="581"/>
      <c r="CU28" s="581"/>
      <c r="CV28" s="581"/>
      <c r="CW28" s="581"/>
      <c r="CX28" s="581"/>
      <c r="CY28" s="581"/>
      <c r="CZ28" s="581"/>
      <c r="DA28" s="581"/>
      <c r="DB28" s="581"/>
      <c r="DC28" s="581"/>
      <c r="DD28" s="581"/>
      <c r="DE28" s="581"/>
      <c r="DF28" s="581"/>
      <c r="DG28" s="581"/>
      <c r="DH28" s="581"/>
      <c r="DI28" s="581"/>
      <c r="DJ28" s="581"/>
      <c r="DK28" s="581"/>
      <c r="DL28" s="581"/>
      <c r="DM28" s="581"/>
      <c r="DN28" s="581"/>
      <c r="DO28" s="581"/>
      <c r="DP28" s="581"/>
      <c r="DQ28" s="581"/>
      <c r="DR28" s="581"/>
      <c r="DS28" s="581"/>
      <c r="DT28" s="581"/>
      <c r="DU28" s="581"/>
      <c r="DV28" s="581"/>
      <c r="DW28" s="581"/>
      <c r="DX28" s="581"/>
      <c r="DY28" s="581"/>
      <c r="DZ28" s="581"/>
      <c r="EA28" s="581"/>
      <c r="EB28" s="581"/>
      <c r="EC28" s="581"/>
      <c r="ED28" s="581"/>
      <c r="EE28" s="581"/>
      <c r="EF28" s="581"/>
      <c r="EG28" s="581"/>
      <c r="EH28" s="581"/>
      <c r="EI28" s="581"/>
      <c r="EJ28" s="581"/>
    </row>
    <row r="29" spans="1:140" ht="45">
      <c r="A29" s="600" t="s">
        <v>742</v>
      </c>
      <c r="B29" s="600" t="s">
        <v>773</v>
      </c>
      <c r="C29" s="600"/>
      <c r="D29" s="600"/>
      <c r="E29" s="600"/>
      <c r="F29" s="645">
        <v>0</v>
      </c>
      <c r="G29" s="584">
        <v>635</v>
      </c>
      <c r="H29" s="643">
        <f>((G29*F29)*0.05)</f>
        <v>0</v>
      </c>
      <c r="I29" s="586">
        <f t="shared" si="4"/>
        <v>0</v>
      </c>
      <c r="J29" s="587">
        <f t="shared" si="5"/>
        <v>0</v>
      </c>
      <c r="K29" s="606">
        <v>20</v>
      </c>
      <c r="L29" s="607">
        <f t="shared" si="6"/>
        <v>0</v>
      </c>
      <c r="M29" s="590">
        <f t="shared" si="7"/>
        <v>0</v>
      </c>
      <c r="N29" s="590">
        <f t="shared" si="8"/>
        <v>0</v>
      </c>
      <c r="O29" s="591" t="s">
        <v>34</v>
      </c>
      <c r="P29" s="590">
        <f t="shared" si="9"/>
        <v>0</v>
      </c>
      <c r="Q29" s="590">
        <f t="shared" si="10"/>
        <v>0</v>
      </c>
      <c r="R29" s="590">
        <f t="shared" si="11"/>
        <v>0</v>
      </c>
      <c r="S29" s="590">
        <f t="shared" si="12"/>
        <v>0</v>
      </c>
      <c r="T29" s="590">
        <f t="shared" si="13"/>
        <v>0</v>
      </c>
      <c r="U29" s="608" t="s">
        <v>25</v>
      </c>
      <c r="V29" s="590">
        <f t="shared" si="14"/>
        <v>0</v>
      </c>
      <c r="W29" s="590">
        <f t="shared" si="15"/>
        <v>0</v>
      </c>
      <c r="X29" s="590">
        <f t="shared" si="16"/>
        <v>0</v>
      </c>
      <c r="Y29" s="590">
        <f t="shared" si="17"/>
        <v>0</v>
      </c>
      <c r="Z29" s="593">
        <f t="shared" si="18"/>
        <v>0</v>
      </c>
      <c r="AA29" s="590">
        <f t="shared" si="19"/>
        <v>0</v>
      </c>
      <c r="AB29" s="590">
        <f t="shared" si="20"/>
        <v>0</v>
      </c>
      <c r="AC29" s="590">
        <f t="shared" si="21"/>
        <v>0</v>
      </c>
      <c r="AD29" s="590">
        <f t="shared" si="22"/>
        <v>0</v>
      </c>
      <c r="AE29" s="593">
        <f t="shared" si="23"/>
        <v>0</v>
      </c>
      <c r="AG29" s="578"/>
      <c r="AH29" s="578"/>
      <c r="AI29" s="578"/>
      <c r="AJ29" s="578"/>
      <c r="AK29" s="578"/>
      <c r="AL29" s="579"/>
      <c r="AM29" s="580"/>
      <c r="AN29" s="581"/>
      <c r="AO29" s="581"/>
      <c r="AP29" s="579"/>
      <c r="AQ29" s="582"/>
      <c r="AR29" s="581"/>
      <c r="AS29" s="581"/>
      <c r="AT29" s="581"/>
      <c r="AU29" s="581"/>
      <c r="AV29" s="581"/>
      <c r="AW29" s="581"/>
      <c r="AX29" s="581"/>
      <c r="AY29" s="581"/>
      <c r="AZ29" s="581"/>
      <c r="BA29" s="581"/>
      <c r="BB29" s="581"/>
      <c r="BC29" s="581"/>
      <c r="BD29" s="581"/>
      <c r="BE29" s="581"/>
      <c r="BF29" s="581"/>
      <c r="BG29" s="581"/>
      <c r="BH29" s="581"/>
      <c r="BI29" s="581"/>
      <c r="BJ29" s="581"/>
      <c r="BK29" s="581"/>
      <c r="BL29" s="581"/>
      <c r="BM29" s="581"/>
      <c r="BN29" s="581"/>
      <c r="BO29" s="581"/>
      <c r="BP29" s="581"/>
      <c r="BQ29" s="581"/>
      <c r="BR29" s="581"/>
      <c r="BS29" s="581"/>
      <c r="BT29" s="581"/>
      <c r="BU29" s="581"/>
      <c r="BV29" s="581"/>
      <c r="BW29" s="581"/>
      <c r="BX29" s="581"/>
      <c r="BY29" s="581"/>
      <c r="BZ29" s="581"/>
      <c r="CA29" s="581"/>
      <c r="CB29" s="581"/>
      <c r="CC29" s="581"/>
      <c r="CD29" s="581"/>
      <c r="CE29" s="581"/>
      <c r="CF29" s="581"/>
      <c r="CG29" s="581"/>
      <c r="CH29" s="581"/>
      <c r="CI29" s="581"/>
      <c r="CJ29" s="581"/>
      <c r="CK29" s="581"/>
      <c r="CL29" s="581"/>
      <c r="CM29" s="581"/>
      <c r="CN29" s="581"/>
      <c r="CO29" s="581"/>
      <c r="CP29" s="581"/>
      <c r="CQ29" s="581"/>
      <c r="CR29" s="581"/>
      <c r="CS29" s="581"/>
      <c r="CT29" s="581"/>
      <c r="CU29" s="581"/>
      <c r="CV29" s="581"/>
      <c r="CW29" s="581"/>
      <c r="CX29" s="581"/>
      <c r="CY29" s="581"/>
      <c r="CZ29" s="581"/>
      <c r="DA29" s="581"/>
      <c r="DB29" s="581"/>
      <c r="DC29" s="581"/>
      <c r="DD29" s="581"/>
      <c r="DE29" s="581"/>
      <c r="DF29" s="581"/>
      <c r="DG29" s="581"/>
      <c r="DH29" s="581"/>
      <c r="DI29" s="581"/>
      <c r="DJ29" s="581"/>
      <c r="DK29" s="581"/>
      <c r="DL29" s="581"/>
      <c r="DM29" s="581"/>
      <c r="DN29" s="581"/>
      <c r="DO29" s="581"/>
      <c r="DP29" s="581"/>
      <c r="DQ29" s="581"/>
      <c r="DR29" s="581"/>
      <c r="DS29" s="581"/>
      <c r="DT29" s="581"/>
      <c r="DU29" s="581"/>
      <c r="DV29" s="581"/>
      <c r="DW29" s="581"/>
      <c r="DX29" s="581"/>
      <c r="DY29" s="581"/>
      <c r="DZ29" s="581"/>
      <c r="EA29" s="581"/>
      <c r="EB29" s="581"/>
      <c r="EC29" s="581"/>
      <c r="ED29" s="581"/>
      <c r="EE29" s="581"/>
      <c r="EF29" s="581"/>
      <c r="EG29" s="581"/>
      <c r="EH29" s="581"/>
      <c r="EI29" s="581"/>
      <c r="EJ29" s="581"/>
    </row>
    <row r="30" spans="1:140" s="603" customFormat="1" ht="15.75">
      <c r="A30" s="600"/>
      <c r="B30" s="600"/>
      <c r="C30" s="600"/>
      <c r="D30" s="600"/>
      <c r="E30" s="600"/>
      <c r="F30" s="645"/>
      <c r="G30" s="584"/>
      <c r="H30" s="646"/>
      <c r="I30" s="586"/>
      <c r="J30" s="587"/>
      <c r="K30" s="644"/>
      <c r="L30" s="607"/>
      <c r="M30" s="590"/>
      <c r="N30" s="590"/>
      <c r="O30" s="591"/>
      <c r="P30" s="590"/>
      <c r="Q30" s="590"/>
      <c r="R30" s="590"/>
      <c r="S30" s="590"/>
      <c r="T30" s="590"/>
      <c r="U30" s="608"/>
      <c r="V30" s="590"/>
      <c r="W30" s="590"/>
      <c r="X30" s="590"/>
      <c r="Y30" s="590"/>
      <c r="Z30" s="593"/>
      <c r="AA30" s="590"/>
      <c r="AB30" s="590"/>
      <c r="AC30" s="590"/>
      <c r="AD30" s="590"/>
      <c r="AE30" s="593"/>
      <c r="AF30" s="599"/>
      <c r="AG30" s="758"/>
      <c r="AH30" s="760"/>
      <c r="AI30" s="759"/>
      <c r="AJ30" s="758"/>
      <c r="AK30" s="758"/>
      <c r="AL30" s="734"/>
      <c r="AM30" s="800"/>
      <c r="AN30" s="569"/>
      <c r="AO30" s="569"/>
      <c r="AP30" s="734"/>
      <c r="AQ30" s="575"/>
      <c r="AR30" s="569"/>
      <c r="AS30" s="569"/>
      <c r="AT30" s="569"/>
      <c r="AU30" s="569"/>
      <c r="AV30" s="569"/>
      <c r="AW30" s="569"/>
      <c r="AX30" s="569"/>
      <c r="AY30" s="569"/>
      <c r="AZ30" s="569"/>
      <c r="BA30" s="569"/>
      <c r="BB30" s="569"/>
      <c r="BC30" s="569"/>
      <c r="BD30" s="569"/>
      <c r="BE30" s="569"/>
      <c r="BF30" s="569"/>
      <c r="BG30" s="569"/>
      <c r="BH30" s="569"/>
      <c r="BI30" s="569"/>
      <c r="BJ30" s="569"/>
      <c r="BK30" s="569"/>
      <c r="BL30" s="569"/>
      <c r="BM30" s="569"/>
      <c r="BN30" s="569"/>
      <c r="BO30" s="569"/>
      <c r="BP30" s="569"/>
      <c r="BQ30" s="569"/>
      <c r="BR30" s="569"/>
      <c r="BS30" s="569"/>
      <c r="BT30" s="569"/>
      <c r="BU30" s="569"/>
      <c r="BV30" s="569"/>
      <c r="BW30" s="569"/>
      <c r="BX30" s="569"/>
      <c r="BY30" s="569"/>
      <c r="BZ30" s="569"/>
      <c r="CA30" s="569"/>
      <c r="CB30" s="569"/>
      <c r="CC30" s="569"/>
      <c r="CD30" s="569"/>
      <c r="CE30" s="569"/>
      <c r="CF30" s="569"/>
      <c r="CG30" s="569"/>
      <c r="CH30" s="569"/>
      <c r="CI30" s="569"/>
      <c r="CJ30" s="569"/>
      <c r="CK30" s="569"/>
      <c r="CL30" s="569"/>
      <c r="CM30" s="569"/>
      <c r="CN30" s="569"/>
      <c r="CO30" s="569"/>
      <c r="CP30" s="569"/>
      <c r="CQ30" s="569"/>
      <c r="CR30" s="569"/>
      <c r="CS30" s="569"/>
      <c r="CT30" s="569"/>
      <c r="CU30" s="569"/>
      <c r="CV30" s="569"/>
      <c r="CW30" s="569"/>
      <c r="CX30" s="569"/>
      <c r="CY30" s="569"/>
      <c r="CZ30" s="569"/>
      <c r="DA30" s="569"/>
      <c r="DB30" s="569"/>
      <c r="DC30" s="569"/>
      <c r="DD30" s="569"/>
      <c r="DE30" s="569"/>
      <c r="DF30" s="569"/>
      <c r="DG30" s="569"/>
      <c r="DH30" s="569"/>
      <c r="DI30" s="569"/>
      <c r="DJ30" s="569"/>
      <c r="DK30" s="569"/>
      <c r="DL30" s="569"/>
      <c r="DM30" s="569"/>
      <c r="DN30" s="569"/>
      <c r="DO30" s="569"/>
      <c r="DP30" s="569"/>
      <c r="DQ30" s="569"/>
      <c r="DR30" s="569"/>
      <c r="DS30" s="569"/>
      <c r="DT30" s="569"/>
      <c r="DU30" s="569"/>
      <c r="DV30" s="569"/>
      <c r="DW30" s="569"/>
      <c r="DX30" s="569"/>
      <c r="DY30" s="569"/>
      <c r="DZ30" s="569"/>
      <c r="EA30" s="569"/>
      <c r="EB30" s="569"/>
      <c r="EC30" s="569"/>
      <c r="ED30" s="569"/>
      <c r="EE30" s="569"/>
      <c r="EF30" s="569"/>
      <c r="EG30" s="569"/>
      <c r="EH30" s="569"/>
      <c r="EI30" s="569"/>
      <c r="EJ30" s="569"/>
    </row>
    <row r="31" spans="1:140" ht="15.75">
      <c r="A31" s="600"/>
      <c r="B31" s="600"/>
      <c r="C31" s="600"/>
      <c r="D31" s="600"/>
      <c r="E31" s="600"/>
      <c r="F31" s="645"/>
      <c r="H31" s="643"/>
      <c r="I31" s="586"/>
      <c r="J31" s="587"/>
      <c r="K31" s="644"/>
      <c r="L31" s="607"/>
      <c r="M31" s="590"/>
      <c r="N31" s="590"/>
      <c r="O31" s="591"/>
      <c r="P31" s="590"/>
      <c r="Q31" s="590"/>
      <c r="R31" s="590"/>
      <c r="S31" s="590"/>
      <c r="T31" s="590"/>
      <c r="U31" s="608"/>
      <c r="V31" s="590"/>
      <c r="W31" s="590"/>
      <c r="X31" s="590"/>
      <c r="Y31" s="590"/>
      <c r="Z31" s="593"/>
      <c r="AA31" s="590"/>
      <c r="AB31" s="590"/>
      <c r="AC31" s="590"/>
      <c r="AD31" s="590"/>
      <c r="AE31" s="593"/>
      <c r="AG31" s="578"/>
      <c r="AH31" s="578"/>
      <c r="AI31" s="578"/>
      <c r="AJ31" s="578"/>
      <c r="AK31" s="578"/>
      <c r="AL31" s="579"/>
      <c r="AM31" s="580"/>
      <c r="AN31" s="581"/>
      <c r="AO31" s="581"/>
      <c r="AP31" s="579"/>
      <c r="AQ31" s="582"/>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1"/>
      <c r="DF31" s="581"/>
      <c r="DG31" s="581"/>
      <c r="DH31" s="581"/>
      <c r="DI31" s="581"/>
      <c r="DJ31" s="581"/>
      <c r="DK31" s="581"/>
      <c r="DL31" s="581"/>
      <c r="DM31" s="581"/>
      <c r="DN31" s="581"/>
      <c r="DO31" s="581"/>
      <c r="DP31" s="581"/>
      <c r="DQ31" s="581"/>
      <c r="DR31" s="581"/>
      <c r="DS31" s="581"/>
      <c r="DT31" s="581"/>
      <c r="DU31" s="581"/>
      <c r="DV31" s="581"/>
      <c r="DW31" s="581"/>
      <c r="DX31" s="581"/>
      <c r="DY31" s="581"/>
      <c r="DZ31" s="581"/>
      <c r="EA31" s="581"/>
      <c r="EB31" s="581"/>
      <c r="EC31" s="581"/>
      <c r="ED31" s="581"/>
      <c r="EE31" s="581"/>
      <c r="EF31" s="581"/>
      <c r="EG31" s="581"/>
      <c r="EH31" s="581"/>
      <c r="EI31" s="581"/>
      <c r="EJ31" s="581"/>
    </row>
    <row r="32" spans="1:140" ht="195">
      <c r="A32" s="600" t="s">
        <v>861</v>
      </c>
      <c r="B32" s="763" t="s">
        <v>744</v>
      </c>
      <c r="C32" s="842" t="s">
        <v>957</v>
      </c>
      <c r="D32" s="754"/>
      <c r="E32" s="600" t="s">
        <v>775</v>
      </c>
      <c r="F32" s="645">
        <v>70</v>
      </c>
      <c r="G32" s="584">
        <v>312643</v>
      </c>
      <c r="H32" s="643">
        <f>(G32*F32)*0.03</f>
        <v>656550.2999999999</v>
      </c>
      <c r="I32" s="586">
        <f>J32/G32</f>
        <v>7</v>
      </c>
      <c r="J32" s="587">
        <f>M32/BudgetYears</f>
        <v>2188501</v>
      </c>
      <c r="K32" s="606">
        <v>10</v>
      </c>
      <c r="L32" s="607">
        <f>(USFInternal)*J32</f>
        <v>1531950.7</v>
      </c>
      <c r="M32" s="590">
        <f>(F32*G32)*(BudgetYears/K32)</f>
        <v>13131006</v>
      </c>
      <c r="N32" s="590">
        <f>(M32)-(L32*3)</f>
        <v>8535153.9</v>
      </c>
      <c r="O32" s="591" t="s">
        <v>18</v>
      </c>
      <c r="P32" s="590">
        <f>IF($O32="S/L or L",$M32,0)</f>
        <v>13131006</v>
      </c>
      <c r="Q32" s="590">
        <f>IF($O32="L",$M32,0)</f>
        <v>0</v>
      </c>
      <c r="R32" s="590">
        <f>IF($O32="S",$M32,0)</f>
        <v>0</v>
      </c>
      <c r="S32" s="590">
        <f>IF($O32="F",$M32,0)</f>
        <v>0</v>
      </c>
      <c r="T32" s="590">
        <f>SUM(P32:S32)</f>
        <v>13131006</v>
      </c>
      <c r="U32" s="608" t="s">
        <v>25</v>
      </c>
      <c r="V32" s="590">
        <f>IF($O32="S/L or L",$J32,0)</f>
        <v>2188501</v>
      </c>
      <c r="W32" s="590">
        <f>IF($O32="L",$J32,0)</f>
        <v>0</v>
      </c>
      <c r="X32" s="590">
        <f>IF($O32="S",$J32,0)</f>
        <v>0</v>
      </c>
      <c r="Y32" s="590">
        <f>IF($O32="F",$J32,0)</f>
        <v>0</v>
      </c>
      <c r="Z32" s="593">
        <f>SUM(V32:Y32)</f>
        <v>2188501</v>
      </c>
      <c r="AA32" s="590">
        <f>IF($O32="S/L or L",$L32,0)</f>
        <v>1531950.7</v>
      </c>
      <c r="AB32" s="590">
        <f>IF($O32="L",$L32,0)</f>
        <v>0</v>
      </c>
      <c r="AC32" s="590">
        <f>IF($O32="S",$L32,0)</f>
        <v>0</v>
      </c>
      <c r="AD32" s="590">
        <f>IF($O32="F",$L32,0)</f>
        <v>0</v>
      </c>
      <c r="AE32" s="593">
        <f>SUM(AA32:AD32)</f>
        <v>1531950.7</v>
      </c>
      <c r="AG32" s="578"/>
      <c r="AH32" s="578"/>
      <c r="AI32" s="578"/>
      <c r="AJ32" s="578"/>
      <c r="AK32" s="578"/>
      <c r="AL32" s="579"/>
      <c r="AM32" s="580"/>
      <c r="AN32" s="581"/>
      <c r="AO32" s="581"/>
      <c r="AP32" s="579"/>
      <c r="AQ32" s="582"/>
      <c r="AR32" s="581"/>
      <c r="AS32" s="581"/>
      <c r="AT32" s="581"/>
      <c r="AU32" s="581"/>
      <c r="AV32" s="581"/>
      <c r="AW32" s="581"/>
      <c r="AX32" s="581"/>
      <c r="AY32" s="581"/>
      <c r="AZ32" s="581"/>
      <c r="BA32" s="581"/>
      <c r="BB32" s="581"/>
      <c r="BC32" s="581"/>
      <c r="BD32" s="581"/>
      <c r="BE32" s="581"/>
      <c r="BF32" s="581"/>
      <c r="BG32" s="581"/>
      <c r="BH32" s="581"/>
      <c r="BI32" s="581"/>
      <c r="BJ32" s="581"/>
      <c r="BK32" s="581"/>
      <c r="BL32" s="581"/>
      <c r="BM32" s="581"/>
      <c r="BN32" s="581"/>
      <c r="BO32" s="581"/>
      <c r="BP32" s="581"/>
      <c r="BQ32" s="581"/>
      <c r="BR32" s="581"/>
      <c r="BS32" s="581"/>
      <c r="BT32" s="581"/>
      <c r="BU32" s="581"/>
      <c r="BV32" s="581"/>
      <c r="BW32" s="581"/>
      <c r="BX32" s="581"/>
      <c r="BY32" s="581"/>
      <c r="BZ32" s="581"/>
      <c r="CA32" s="581"/>
      <c r="CB32" s="581"/>
      <c r="CC32" s="581"/>
      <c r="CD32" s="581"/>
      <c r="CE32" s="581"/>
      <c r="CF32" s="581"/>
      <c r="CG32" s="581"/>
      <c r="CH32" s="581"/>
      <c r="CI32" s="581"/>
      <c r="CJ32" s="581"/>
      <c r="CK32" s="581"/>
      <c r="CL32" s="581"/>
      <c r="CM32" s="581"/>
      <c r="CN32" s="581"/>
      <c r="CO32" s="581"/>
      <c r="CP32" s="581"/>
      <c r="CQ32" s="581"/>
      <c r="CR32" s="581"/>
      <c r="CS32" s="581"/>
      <c r="CT32" s="581"/>
      <c r="CU32" s="581"/>
      <c r="CV32" s="581"/>
      <c r="CW32" s="581"/>
      <c r="CX32" s="581"/>
      <c r="CY32" s="581"/>
      <c r="CZ32" s="581"/>
      <c r="DA32" s="581"/>
      <c r="DB32" s="581"/>
      <c r="DC32" s="581"/>
      <c r="DD32" s="581"/>
      <c r="DE32" s="581"/>
      <c r="DF32" s="581"/>
      <c r="DG32" s="581"/>
      <c r="DH32" s="581"/>
      <c r="DI32" s="581"/>
      <c r="DJ32" s="581"/>
      <c r="DK32" s="581"/>
      <c r="DL32" s="581"/>
      <c r="DM32" s="581"/>
      <c r="DN32" s="581"/>
      <c r="DO32" s="581"/>
      <c r="DP32" s="581"/>
      <c r="DQ32" s="581"/>
      <c r="DR32" s="581"/>
      <c r="DS32" s="581"/>
      <c r="DT32" s="581"/>
      <c r="DU32" s="581"/>
      <c r="DV32" s="581"/>
      <c r="DW32" s="581"/>
      <c r="DX32" s="581"/>
      <c r="DY32" s="581"/>
      <c r="DZ32" s="581"/>
      <c r="EA32" s="581"/>
      <c r="EB32" s="581"/>
      <c r="EC32" s="581"/>
      <c r="ED32" s="581"/>
      <c r="EE32" s="581"/>
      <c r="EF32" s="581"/>
      <c r="EG32" s="581"/>
      <c r="EH32" s="581"/>
      <c r="EI32" s="581"/>
      <c r="EJ32" s="581"/>
    </row>
    <row r="33" spans="1:140" s="603" customFormat="1" ht="15.75">
      <c r="A33" s="600"/>
      <c r="B33" s="600"/>
      <c r="C33" s="600"/>
      <c r="D33" s="600"/>
      <c r="E33" s="600"/>
      <c r="F33" s="645"/>
      <c r="G33" s="584"/>
      <c r="H33" s="646"/>
      <c r="I33" s="586"/>
      <c r="J33" s="587"/>
      <c r="K33" s="606"/>
      <c r="L33" s="607"/>
      <c r="M33" s="590"/>
      <c r="N33" s="590"/>
      <c r="O33" s="591"/>
      <c r="P33" s="590"/>
      <c r="Q33" s="590"/>
      <c r="R33" s="590"/>
      <c r="S33" s="590"/>
      <c r="T33" s="590"/>
      <c r="U33" s="608"/>
      <c r="V33" s="590"/>
      <c r="W33" s="590"/>
      <c r="X33" s="590"/>
      <c r="Y33" s="590"/>
      <c r="Z33" s="593"/>
      <c r="AA33" s="590"/>
      <c r="AB33" s="590"/>
      <c r="AC33" s="590"/>
      <c r="AD33" s="590"/>
      <c r="AE33" s="593"/>
      <c r="AF33" s="599"/>
      <c r="AG33" s="758"/>
      <c r="AH33" s="760"/>
      <c r="AI33" s="759"/>
      <c r="AJ33" s="758"/>
      <c r="AK33" s="758"/>
      <c r="AL33" s="734"/>
      <c r="AM33" s="800"/>
      <c r="AN33" s="569"/>
      <c r="AO33" s="569"/>
      <c r="AP33" s="734"/>
      <c r="AQ33" s="575"/>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69"/>
      <c r="CO33" s="569"/>
      <c r="CP33" s="569"/>
      <c r="CQ33" s="569"/>
      <c r="CR33" s="569"/>
      <c r="CS33" s="569"/>
      <c r="CT33" s="569"/>
      <c r="CU33" s="569"/>
      <c r="CV33" s="569"/>
      <c r="CW33" s="569"/>
      <c r="CX33" s="569"/>
      <c r="CY33" s="569"/>
      <c r="CZ33" s="569"/>
      <c r="DA33" s="569"/>
      <c r="DB33" s="569"/>
      <c r="DC33" s="569"/>
      <c r="DD33" s="569"/>
      <c r="DE33" s="569"/>
      <c r="DF33" s="569"/>
      <c r="DG33" s="569"/>
      <c r="DH33" s="569"/>
      <c r="DI33" s="569"/>
      <c r="DJ33" s="569"/>
      <c r="DK33" s="569"/>
      <c r="DL33" s="569"/>
      <c r="DM33" s="569"/>
      <c r="DN33" s="569"/>
      <c r="DO33" s="569"/>
      <c r="DP33" s="569"/>
      <c r="DQ33" s="569"/>
      <c r="DR33" s="569"/>
      <c r="DS33" s="569"/>
      <c r="DT33" s="569"/>
      <c r="DU33" s="569"/>
      <c r="DV33" s="569"/>
      <c r="DW33" s="569"/>
      <c r="DX33" s="569"/>
      <c r="DY33" s="569"/>
      <c r="DZ33" s="569"/>
      <c r="EA33" s="569"/>
      <c r="EB33" s="569"/>
      <c r="EC33" s="569"/>
      <c r="ED33" s="569"/>
      <c r="EE33" s="569"/>
      <c r="EF33" s="569"/>
      <c r="EG33" s="569"/>
      <c r="EH33" s="569"/>
      <c r="EI33" s="569"/>
      <c r="EJ33" s="569"/>
    </row>
    <row r="34" spans="1:140" ht="15.75">
      <c r="A34" s="600" t="s">
        <v>1905</v>
      </c>
      <c r="B34" s="600"/>
      <c r="C34" s="600" t="s">
        <v>1906</v>
      </c>
      <c r="D34" s="600">
        <v>1</v>
      </c>
      <c r="E34" s="600" t="s">
        <v>350</v>
      </c>
      <c r="F34" s="645">
        <v>1500</v>
      </c>
      <c r="G34" s="584">
        <f>Number_of_Schools</f>
        <v>1247</v>
      </c>
      <c r="H34" s="643"/>
      <c r="I34" s="586"/>
      <c r="J34" s="587">
        <f>SUM(F34*G34)/K34</f>
        <v>187050</v>
      </c>
      <c r="K34" s="606">
        <v>10</v>
      </c>
      <c r="L34" s="607"/>
      <c r="M34" s="590"/>
      <c r="N34" s="590"/>
      <c r="O34" s="591"/>
      <c r="P34" s="590"/>
      <c r="Q34" s="590"/>
      <c r="R34" s="590"/>
      <c r="S34" s="590"/>
      <c r="T34" s="590"/>
      <c r="U34" s="608"/>
      <c r="V34" s="590"/>
      <c r="W34" s="590"/>
      <c r="X34" s="590"/>
      <c r="Y34" s="590"/>
      <c r="Z34" s="593"/>
      <c r="AA34" s="590"/>
      <c r="AB34" s="590"/>
      <c r="AC34" s="590"/>
      <c r="AD34" s="590"/>
      <c r="AE34" s="593"/>
      <c r="AG34" s="578"/>
      <c r="AH34" s="578"/>
      <c r="AI34" s="578"/>
      <c r="AJ34" s="578"/>
      <c r="AK34" s="578"/>
      <c r="AL34" s="579"/>
      <c r="AM34" s="580"/>
      <c r="AN34" s="581"/>
      <c r="AO34" s="581"/>
      <c r="AP34" s="579"/>
      <c r="AQ34" s="582"/>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c r="BW34" s="581"/>
      <c r="BX34" s="581"/>
      <c r="BY34" s="581"/>
      <c r="BZ34" s="581"/>
      <c r="CA34" s="581"/>
      <c r="CB34" s="581"/>
      <c r="CC34" s="581"/>
      <c r="CD34" s="581"/>
      <c r="CE34" s="581"/>
      <c r="CF34" s="581"/>
      <c r="CG34" s="581"/>
      <c r="CH34" s="581"/>
      <c r="CI34" s="581"/>
      <c r="CJ34" s="581"/>
      <c r="CK34" s="581"/>
      <c r="CL34" s="581"/>
      <c r="CM34" s="581"/>
      <c r="CN34" s="581"/>
      <c r="CO34" s="581"/>
      <c r="CP34" s="581"/>
      <c r="CQ34" s="581"/>
      <c r="CR34" s="581"/>
      <c r="CS34" s="581"/>
      <c r="CT34" s="581"/>
      <c r="CU34" s="581"/>
      <c r="CV34" s="581"/>
      <c r="CW34" s="581"/>
      <c r="CX34" s="581"/>
      <c r="CY34" s="581"/>
      <c r="CZ34" s="581"/>
      <c r="DA34" s="581"/>
      <c r="DB34" s="581"/>
      <c r="DC34" s="581"/>
      <c r="DD34" s="581"/>
      <c r="DE34" s="581"/>
      <c r="DF34" s="581"/>
      <c r="DG34" s="581"/>
      <c r="DH34" s="581"/>
      <c r="DI34" s="581"/>
      <c r="DJ34" s="581"/>
      <c r="DK34" s="581"/>
      <c r="DL34" s="581"/>
      <c r="DM34" s="581"/>
      <c r="DN34" s="581"/>
      <c r="DO34" s="581"/>
      <c r="DP34" s="581"/>
      <c r="DQ34" s="581"/>
      <c r="DR34" s="581"/>
      <c r="DS34" s="581"/>
      <c r="DT34" s="581"/>
      <c r="DU34" s="581"/>
      <c r="DV34" s="581"/>
      <c r="DW34" s="581"/>
      <c r="DX34" s="581"/>
      <c r="DY34" s="581"/>
      <c r="DZ34" s="581"/>
      <c r="EA34" s="581"/>
      <c r="EB34" s="581"/>
      <c r="EC34" s="581"/>
      <c r="ED34" s="581"/>
      <c r="EE34" s="581"/>
      <c r="EF34" s="581"/>
      <c r="EG34" s="581"/>
      <c r="EH34" s="581"/>
      <c r="EI34" s="581"/>
      <c r="EJ34" s="581"/>
    </row>
    <row r="35" spans="1:140" s="603" customFormat="1" ht="15.75">
      <c r="A35" s="600"/>
      <c r="B35" s="600"/>
      <c r="C35" s="600"/>
      <c r="D35" s="600"/>
      <c r="E35" s="600"/>
      <c r="F35" s="645"/>
      <c r="G35" s="584"/>
      <c r="H35" s="646"/>
      <c r="I35" s="586"/>
      <c r="J35" s="587"/>
      <c r="K35" s="606"/>
      <c r="L35" s="607"/>
      <c r="M35" s="590"/>
      <c r="N35" s="590"/>
      <c r="O35" s="591"/>
      <c r="P35" s="590"/>
      <c r="Q35" s="590"/>
      <c r="R35" s="590"/>
      <c r="S35" s="590"/>
      <c r="T35" s="590"/>
      <c r="U35" s="608"/>
      <c r="V35" s="590"/>
      <c r="W35" s="590"/>
      <c r="X35" s="590"/>
      <c r="Y35" s="590"/>
      <c r="Z35" s="593"/>
      <c r="AA35" s="590"/>
      <c r="AB35" s="590"/>
      <c r="AC35" s="590"/>
      <c r="AD35" s="590"/>
      <c r="AE35" s="593"/>
      <c r="AF35" s="599"/>
      <c r="AG35" s="758"/>
      <c r="AH35" s="760"/>
      <c r="AI35" s="759"/>
      <c r="AJ35" s="758"/>
      <c r="AK35" s="755"/>
      <c r="AL35" s="734"/>
      <c r="AM35" s="800"/>
      <c r="AN35" s="569"/>
      <c r="AO35" s="569"/>
      <c r="AP35" s="734"/>
      <c r="AQ35" s="575"/>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9"/>
      <c r="CO35" s="569"/>
      <c r="CP35" s="569"/>
      <c r="CQ35" s="569"/>
      <c r="CR35" s="569"/>
      <c r="CS35" s="569"/>
      <c r="CT35" s="569"/>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69"/>
      <c r="DX35" s="569"/>
      <c r="DY35" s="569"/>
      <c r="DZ35" s="569"/>
      <c r="EA35" s="569"/>
      <c r="EB35" s="569"/>
      <c r="EC35" s="569"/>
      <c r="ED35" s="569"/>
      <c r="EE35" s="569"/>
      <c r="EF35" s="569"/>
      <c r="EG35" s="569"/>
      <c r="EH35" s="569"/>
      <c r="EI35" s="569"/>
      <c r="EJ35" s="569"/>
    </row>
    <row r="36" spans="1:140" ht="75">
      <c r="A36" s="600" t="s">
        <v>864</v>
      </c>
      <c r="B36" s="763" t="s">
        <v>776</v>
      </c>
      <c r="C36" s="842" t="s">
        <v>777</v>
      </c>
      <c r="D36" s="600">
        <v>1</v>
      </c>
      <c r="E36" s="600" t="s">
        <v>685</v>
      </c>
      <c r="F36" s="645">
        <v>2000</v>
      </c>
      <c r="G36" s="584">
        <v>206</v>
      </c>
      <c r="H36" s="643"/>
      <c r="I36" s="586"/>
      <c r="J36" s="587">
        <f>SUM(F36*G36)/K36</f>
        <v>41200</v>
      </c>
      <c r="K36" s="606">
        <v>10</v>
      </c>
      <c r="L36" s="607"/>
      <c r="M36" s="590"/>
      <c r="N36" s="590"/>
      <c r="O36" s="591"/>
      <c r="P36" s="590"/>
      <c r="Q36" s="590"/>
      <c r="R36" s="590"/>
      <c r="S36" s="590"/>
      <c r="T36" s="590"/>
      <c r="U36" s="608"/>
      <c r="V36" s="590"/>
      <c r="W36" s="590"/>
      <c r="X36" s="590"/>
      <c r="Y36" s="590"/>
      <c r="Z36" s="593"/>
      <c r="AA36" s="590"/>
      <c r="AB36" s="590"/>
      <c r="AC36" s="590"/>
      <c r="AD36" s="590"/>
      <c r="AE36" s="593"/>
      <c r="AG36" s="578"/>
      <c r="AH36" s="578"/>
      <c r="AI36" s="578"/>
      <c r="AJ36" s="578"/>
      <c r="AK36" s="578"/>
      <c r="AL36" s="579"/>
      <c r="AM36" s="580"/>
      <c r="AN36" s="581"/>
      <c r="AO36" s="581"/>
      <c r="AP36" s="579"/>
      <c r="AQ36" s="582"/>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c r="BS36" s="581"/>
      <c r="BT36" s="581"/>
      <c r="BU36" s="581"/>
      <c r="BV36" s="581"/>
      <c r="BW36" s="581"/>
      <c r="BX36" s="581"/>
      <c r="BY36" s="581"/>
      <c r="BZ36" s="581"/>
      <c r="CA36" s="581"/>
      <c r="CB36" s="581"/>
      <c r="CC36" s="581"/>
      <c r="CD36" s="581"/>
      <c r="CE36" s="581"/>
      <c r="CF36" s="581"/>
      <c r="CG36" s="581"/>
      <c r="CH36" s="581"/>
      <c r="CI36" s="581"/>
      <c r="CJ36" s="581"/>
      <c r="CK36" s="581"/>
      <c r="CL36" s="581"/>
      <c r="CM36" s="581"/>
      <c r="CN36" s="581"/>
      <c r="CO36" s="581"/>
      <c r="CP36" s="581"/>
      <c r="CQ36" s="581"/>
      <c r="CR36" s="581"/>
      <c r="CS36" s="581"/>
      <c r="CT36" s="581"/>
      <c r="CU36" s="581"/>
      <c r="CV36" s="581"/>
      <c r="CW36" s="581"/>
      <c r="CX36" s="581"/>
      <c r="CY36" s="581"/>
      <c r="CZ36" s="581"/>
      <c r="DA36" s="581"/>
      <c r="DB36" s="581"/>
      <c r="DC36" s="581"/>
      <c r="DD36" s="581"/>
      <c r="DE36" s="581"/>
      <c r="DF36" s="581"/>
      <c r="DG36" s="581"/>
      <c r="DH36" s="581"/>
      <c r="DI36" s="581"/>
      <c r="DJ36" s="581"/>
      <c r="DK36" s="581"/>
      <c r="DL36" s="581"/>
      <c r="DM36" s="581"/>
      <c r="DN36" s="581"/>
      <c r="DO36" s="581"/>
      <c r="DP36" s="581"/>
      <c r="DQ36" s="581"/>
      <c r="DR36" s="581"/>
      <c r="DS36" s="581"/>
      <c r="DT36" s="581"/>
      <c r="DU36" s="581"/>
      <c r="DV36" s="581"/>
      <c r="DW36" s="581"/>
      <c r="DX36" s="581"/>
      <c r="DY36" s="581"/>
      <c r="DZ36" s="581"/>
      <c r="EA36" s="581"/>
      <c r="EB36" s="581"/>
      <c r="EC36" s="581"/>
      <c r="ED36" s="581"/>
      <c r="EE36" s="581"/>
      <c r="EF36" s="581"/>
      <c r="EG36" s="581"/>
      <c r="EH36" s="581"/>
      <c r="EI36" s="581"/>
      <c r="EJ36" s="581"/>
    </row>
    <row r="37" spans="1:140" ht="15">
      <c r="A37" s="595" t="s">
        <v>865</v>
      </c>
      <c r="B37" s="600"/>
      <c r="C37" s="600"/>
      <c r="D37" s="600"/>
      <c r="F37" s="647"/>
      <c r="G37" s="648"/>
      <c r="H37" s="649"/>
      <c r="J37" s="619"/>
      <c r="K37" s="651"/>
      <c r="L37" s="652"/>
      <c r="U37" s="654"/>
      <c r="V37" s="653"/>
      <c r="W37" s="653"/>
      <c r="X37" s="653"/>
      <c r="Y37" s="653"/>
      <c r="Z37" s="655"/>
      <c r="AA37" s="653"/>
      <c r="AB37" s="653"/>
      <c r="AC37" s="653"/>
      <c r="AD37" s="653"/>
      <c r="AE37" s="655"/>
      <c r="AG37" s="578"/>
      <c r="AH37" s="578"/>
      <c r="AI37" s="578"/>
      <c r="AJ37" s="578"/>
      <c r="AK37" s="578"/>
      <c r="AL37" s="579"/>
      <c r="AM37" s="580"/>
      <c r="AN37" s="581"/>
      <c r="AO37" s="581"/>
      <c r="AP37" s="579"/>
      <c r="AQ37" s="582"/>
      <c r="AR37" s="581"/>
      <c r="AS37" s="581"/>
      <c r="AT37" s="581"/>
      <c r="AU37" s="581"/>
      <c r="AV37" s="581"/>
      <c r="AW37" s="581"/>
      <c r="AX37" s="581"/>
      <c r="AY37" s="581"/>
      <c r="AZ37" s="581"/>
      <c r="BA37" s="581"/>
      <c r="BB37" s="581"/>
      <c r="BC37" s="581"/>
      <c r="BD37" s="581"/>
      <c r="BE37" s="581"/>
      <c r="BF37" s="581"/>
      <c r="BG37" s="581"/>
      <c r="BH37" s="581"/>
      <c r="BI37" s="581"/>
      <c r="BJ37" s="581"/>
      <c r="BK37" s="581"/>
      <c r="BL37" s="581"/>
      <c r="BM37" s="581"/>
      <c r="BN37" s="581"/>
      <c r="BO37" s="581"/>
      <c r="BP37" s="581"/>
      <c r="BQ37" s="581"/>
      <c r="BR37" s="581"/>
      <c r="BS37" s="581"/>
      <c r="BT37" s="581"/>
      <c r="BU37" s="581"/>
      <c r="BV37" s="581"/>
      <c r="BW37" s="581"/>
      <c r="BX37" s="581"/>
      <c r="BY37" s="581"/>
      <c r="BZ37" s="581"/>
      <c r="CA37" s="581"/>
      <c r="CB37" s="581"/>
      <c r="CC37" s="581"/>
      <c r="CD37" s="581"/>
      <c r="CE37" s="581"/>
      <c r="CF37" s="581"/>
      <c r="CG37" s="581"/>
      <c r="CH37" s="581"/>
      <c r="CI37" s="581"/>
      <c r="CJ37" s="581"/>
      <c r="CK37" s="581"/>
      <c r="CL37" s="581"/>
      <c r="CM37" s="581"/>
      <c r="CN37" s="581"/>
      <c r="CO37" s="581"/>
      <c r="CP37" s="581"/>
      <c r="CQ37" s="581"/>
      <c r="CR37" s="581"/>
      <c r="CS37" s="581"/>
      <c r="CT37" s="581"/>
      <c r="CU37" s="581"/>
      <c r="CV37" s="581"/>
      <c r="CW37" s="581"/>
      <c r="CX37" s="581"/>
      <c r="CY37" s="581"/>
      <c r="CZ37" s="581"/>
      <c r="DA37" s="581"/>
      <c r="DB37" s="581"/>
      <c r="DC37" s="581"/>
      <c r="DD37" s="581"/>
      <c r="DE37" s="581"/>
      <c r="DF37" s="581"/>
      <c r="DG37" s="581"/>
      <c r="DH37" s="581"/>
      <c r="DI37" s="581"/>
      <c r="DJ37" s="581"/>
      <c r="DK37" s="581"/>
      <c r="DL37" s="581"/>
      <c r="DM37" s="581"/>
      <c r="DN37" s="581"/>
      <c r="DO37" s="581"/>
      <c r="DP37" s="581"/>
      <c r="DQ37" s="581"/>
      <c r="DR37" s="581"/>
      <c r="DS37" s="581"/>
      <c r="DT37" s="581"/>
      <c r="DU37" s="581"/>
      <c r="DV37" s="581"/>
      <c r="DW37" s="581"/>
      <c r="DX37" s="581"/>
      <c r="DY37" s="581"/>
      <c r="DZ37" s="581"/>
      <c r="EA37" s="581"/>
      <c r="EB37" s="581"/>
      <c r="EC37" s="581"/>
      <c r="ED37" s="581"/>
      <c r="EE37" s="581"/>
      <c r="EF37" s="581"/>
      <c r="EG37" s="581"/>
      <c r="EH37" s="581"/>
      <c r="EI37" s="581"/>
      <c r="EJ37" s="581"/>
    </row>
    <row r="38" spans="1:140" ht="75">
      <c r="A38" s="600" t="s">
        <v>866</v>
      </c>
      <c r="B38" s="763" t="s">
        <v>778</v>
      </c>
      <c r="C38" s="842" t="s">
        <v>777</v>
      </c>
      <c r="D38" s="600">
        <v>1</v>
      </c>
      <c r="E38" s="600" t="s">
        <v>686</v>
      </c>
      <c r="F38" s="645">
        <v>500</v>
      </c>
      <c r="G38" s="584">
        <v>892</v>
      </c>
      <c r="H38" s="643"/>
      <c r="I38" s="586"/>
      <c r="J38" s="587">
        <f>SUM(F38*G38)/K38</f>
        <v>44600</v>
      </c>
      <c r="K38" s="606">
        <v>10</v>
      </c>
      <c r="L38" s="607"/>
      <c r="M38" s="590"/>
      <c r="N38" s="590"/>
      <c r="O38" s="591"/>
      <c r="P38" s="590"/>
      <c r="Q38" s="590"/>
      <c r="R38" s="590"/>
      <c r="S38" s="590"/>
      <c r="T38" s="590"/>
      <c r="U38" s="608"/>
      <c r="V38" s="590"/>
      <c r="W38" s="590"/>
      <c r="X38" s="590"/>
      <c r="Y38" s="590"/>
      <c r="Z38" s="593"/>
      <c r="AA38" s="590"/>
      <c r="AB38" s="590"/>
      <c r="AC38" s="590"/>
      <c r="AD38" s="590"/>
      <c r="AE38" s="593"/>
      <c r="AG38" s="578"/>
      <c r="AH38" s="578"/>
      <c r="AI38" s="578"/>
      <c r="AJ38" s="578"/>
      <c r="AK38" s="578"/>
      <c r="AL38" s="579"/>
      <c r="AM38" s="580"/>
      <c r="AN38" s="581"/>
      <c r="AO38" s="581"/>
      <c r="AP38" s="579"/>
      <c r="AQ38" s="582"/>
      <c r="AR38" s="581"/>
      <c r="AS38" s="581"/>
      <c r="AT38" s="581"/>
      <c r="AU38" s="581"/>
      <c r="AV38" s="581"/>
      <c r="AW38" s="581"/>
      <c r="AX38" s="581"/>
      <c r="AY38" s="581"/>
      <c r="AZ38" s="581"/>
      <c r="BA38" s="581"/>
      <c r="BB38" s="581"/>
      <c r="BC38" s="581"/>
      <c r="BD38" s="581"/>
      <c r="BE38" s="581"/>
      <c r="BF38" s="581"/>
      <c r="BG38" s="581"/>
      <c r="BH38" s="581"/>
      <c r="BI38" s="581"/>
      <c r="BJ38" s="581"/>
      <c r="BK38" s="581"/>
      <c r="BL38" s="581"/>
      <c r="BM38" s="581"/>
      <c r="BN38" s="581"/>
      <c r="BO38" s="581"/>
      <c r="BP38" s="581"/>
      <c r="BQ38" s="581"/>
      <c r="BR38" s="581"/>
      <c r="BS38" s="581"/>
      <c r="BT38" s="581"/>
      <c r="BU38" s="581"/>
      <c r="BV38" s="581"/>
      <c r="BW38" s="581"/>
      <c r="BX38" s="581"/>
      <c r="BY38" s="581"/>
      <c r="BZ38" s="581"/>
      <c r="CA38" s="581"/>
      <c r="CB38" s="581"/>
      <c r="CC38" s="581"/>
      <c r="CD38" s="581"/>
      <c r="CE38" s="581"/>
      <c r="CF38" s="581"/>
      <c r="CG38" s="581"/>
      <c r="CH38" s="581"/>
      <c r="CI38" s="581"/>
      <c r="CJ38" s="581"/>
      <c r="CK38" s="581"/>
      <c r="CL38" s="581"/>
      <c r="CM38" s="581"/>
      <c r="CN38" s="581"/>
      <c r="CO38" s="581"/>
      <c r="CP38" s="581"/>
      <c r="CQ38" s="581"/>
      <c r="CR38" s="581"/>
      <c r="CS38" s="581"/>
      <c r="CT38" s="581"/>
      <c r="CU38" s="581"/>
      <c r="CV38" s="581"/>
      <c r="CW38" s="581"/>
      <c r="CX38" s="581"/>
      <c r="CY38" s="581"/>
      <c r="CZ38" s="581"/>
      <c r="DA38" s="581"/>
      <c r="DB38" s="581"/>
      <c r="DC38" s="581"/>
      <c r="DD38" s="581"/>
      <c r="DE38" s="581"/>
      <c r="DF38" s="581"/>
      <c r="DG38" s="581"/>
      <c r="DH38" s="581"/>
      <c r="DI38" s="581"/>
      <c r="DJ38" s="581"/>
      <c r="DK38" s="581"/>
      <c r="DL38" s="581"/>
      <c r="DM38" s="581"/>
      <c r="DN38" s="581"/>
      <c r="DO38" s="581"/>
      <c r="DP38" s="581"/>
      <c r="DQ38" s="581"/>
      <c r="DR38" s="581"/>
      <c r="DS38" s="581"/>
      <c r="DT38" s="581"/>
      <c r="DU38" s="581"/>
      <c r="DV38" s="581"/>
      <c r="DW38" s="581"/>
      <c r="DX38" s="581"/>
      <c r="DY38" s="581"/>
      <c r="DZ38" s="581"/>
      <c r="EA38" s="581"/>
      <c r="EB38" s="581"/>
      <c r="EC38" s="581"/>
      <c r="ED38" s="581"/>
      <c r="EE38" s="581"/>
      <c r="EF38" s="581"/>
      <c r="EG38" s="581"/>
      <c r="EH38" s="581"/>
      <c r="EI38" s="581"/>
      <c r="EJ38" s="581"/>
    </row>
    <row r="39" spans="1:140" ht="15">
      <c r="A39" s="595" t="s">
        <v>867</v>
      </c>
      <c r="B39" s="600"/>
      <c r="C39" s="600"/>
      <c r="D39" s="600"/>
      <c r="F39" s="647"/>
      <c r="G39" s="648"/>
      <c r="H39" s="649"/>
      <c r="J39" s="619"/>
      <c r="K39" s="651"/>
      <c r="L39" s="652"/>
      <c r="U39" s="654"/>
      <c r="V39" s="653"/>
      <c r="W39" s="653"/>
      <c r="X39" s="653"/>
      <c r="Y39" s="653"/>
      <c r="Z39" s="655"/>
      <c r="AA39" s="653"/>
      <c r="AB39" s="653"/>
      <c r="AC39" s="653"/>
      <c r="AD39" s="653"/>
      <c r="AE39" s="655"/>
      <c r="AG39" s="578"/>
      <c r="AH39" s="578"/>
      <c r="AI39" s="578"/>
      <c r="AJ39" s="578"/>
      <c r="AK39" s="578"/>
      <c r="AL39" s="579"/>
      <c r="AM39" s="580"/>
      <c r="AN39" s="581"/>
      <c r="AO39" s="581"/>
      <c r="AP39" s="579"/>
      <c r="AQ39" s="582"/>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c r="BZ39" s="581"/>
      <c r="CA39" s="581"/>
      <c r="CB39" s="581"/>
      <c r="CC39" s="581"/>
      <c r="CD39" s="581"/>
      <c r="CE39" s="581"/>
      <c r="CF39" s="581"/>
      <c r="CG39" s="581"/>
      <c r="CH39" s="581"/>
      <c r="CI39" s="581"/>
      <c r="CJ39" s="581"/>
      <c r="CK39" s="581"/>
      <c r="CL39" s="581"/>
      <c r="CM39" s="581"/>
      <c r="CN39" s="581"/>
      <c r="CO39" s="581"/>
      <c r="CP39" s="581"/>
      <c r="CQ39" s="581"/>
      <c r="CR39" s="581"/>
      <c r="CS39" s="581"/>
      <c r="CT39" s="581"/>
      <c r="CU39" s="581"/>
      <c r="CV39" s="581"/>
      <c r="CW39" s="581"/>
      <c r="CX39" s="581"/>
      <c r="CY39" s="581"/>
      <c r="CZ39" s="581"/>
      <c r="DA39" s="581"/>
      <c r="DB39" s="581"/>
      <c r="DC39" s="581"/>
      <c r="DD39" s="581"/>
      <c r="DE39" s="581"/>
      <c r="DF39" s="581"/>
      <c r="DG39" s="581"/>
      <c r="DH39" s="581"/>
      <c r="DI39" s="581"/>
      <c r="DJ39" s="581"/>
      <c r="DK39" s="581"/>
      <c r="DL39" s="581"/>
      <c r="DM39" s="581"/>
      <c r="DN39" s="581"/>
      <c r="DO39" s="581"/>
      <c r="DP39" s="581"/>
      <c r="DQ39" s="581"/>
      <c r="DR39" s="581"/>
      <c r="DS39" s="581"/>
      <c r="DT39" s="581"/>
      <c r="DU39" s="581"/>
      <c r="DV39" s="581"/>
      <c r="DW39" s="581"/>
      <c r="DX39" s="581"/>
      <c r="DY39" s="581"/>
      <c r="DZ39" s="581"/>
      <c r="EA39" s="581"/>
      <c r="EB39" s="581"/>
      <c r="EC39" s="581"/>
      <c r="ED39" s="581"/>
      <c r="EE39" s="581"/>
      <c r="EF39" s="581"/>
      <c r="EG39" s="581"/>
      <c r="EH39" s="581"/>
      <c r="EI39" s="581"/>
      <c r="EJ39" s="581"/>
    </row>
    <row r="40" spans="1:140" ht="75">
      <c r="A40" s="600" t="s">
        <v>868</v>
      </c>
      <c r="B40" s="763" t="s">
        <v>779</v>
      </c>
      <c r="C40" s="842" t="s">
        <v>777</v>
      </c>
      <c r="D40" s="600">
        <v>1</v>
      </c>
      <c r="E40" s="600" t="s">
        <v>687</v>
      </c>
      <c r="F40" s="645">
        <v>2000</v>
      </c>
      <c r="G40" s="584">
        <v>274</v>
      </c>
      <c r="H40" s="643"/>
      <c r="I40" s="586"/>
      <c r="J40" s="587">
        <f>SUM(F40*G40)/K40</f>
        <v>54800</v>
      </c>
      <c r="K40" s="606">
        <v>10</v>
      </c>
      <c r="L40" s="607"/>
      <c r="M40" s="590"/>
      <c r="N40" s="590"/>
      <c r="O40" s="591"/>
      <c r="P40" s="590"/>
      <c r="Q40" s="590"/>
      <c r="R40" s="590"/>
      <c r="S40" s="590"/>
      <c r="T40" s="590"/>
      <c r="U40" s="608"/>
      <c r="V40" s="590"/>
      <c r="W40" s="590"/>
      <c r="X40" s="590"/>
      <c r="Y40" s="590"/>
      <c r="Z40" s="593"/>
      <c r="AA40" s="590"/>
      <c r="AB40" s="590"/>
      <c r="AC40" s="590"/>
      <c r="AD40" s="590"/>
      <c r="AE40" s="593"/>
      <c r="AG40" s="578"/>
      <c r="AH40" s="578"/>
      <c r="AI40" s="578"/>
      <c r="AJ40" s="578"/>
      <c r="AK40" s="578"/>
      <c r="AL40" s="579"/>
      <c r="AM40" s="580"/>
      <c r="AN40" s="581"/>
      <c r="AO40" s="581"/>
      <c r="AP40" s="579"/>
      <c r="AQ40" s="582"/>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c r="BW40" s="581"/>
      <c r="BX40" s="581"/>
      <c r="BY40" s="581"/>
      <c r="BZ40" s="581"/>
      <c r="CA40" s="581"/>
      <c r="CB40" s="581"/>
      <c r="CC40" s="581"/>
      <c r="CD40" s="581"/>
      <c r="CE40" s="581"/>
      <c r="CF40" s="581"/>
      <c r="CG40" s="581"/>
      <c r="CH40" s="581"/>
      <c r="CI40" s="581"/>
      <c r="CJ40" s="581"/>
      <c r="CK40" s="581"/>
      <c r="CL40" s="581"/>
      <c r="CM40" s="581"/>
      <c r="CN40" s="581"/>
      <c r="CO40" s="581"/>
      <c r="CP40" s="581"/>
      <c r="CQ40" s="581"/>
      <c r="CR40" s="581"/>
      <c r="CS40" s="581"/>
      <c r="CT40" s="581"/>
      <c r="CU40" s="581"/>
      <c r="CV40" s="581"/>
      <c r="CW40" s="581"/>
      <c r="CX40" s="581"/>
      <c r="CY40" s="581"/>
      <c r="CZ40" s="581"/>
      <c r="DA40" s="581"/>
      <c r="DB40" s="581"/>
      <c r="DC40" s="581"/>
      <c r="DD40" s="581"/>
      <c r="DE40" s="581"/>
      <c r="DF40" s="581"/>
      <c r="DG40" s="581"/>
      <c r="DH40" s="581"/>
      <c r="DI40" s="581"/>
      <c r="DJ40" s="581"/>
      <c r="DK40" s="581"/>
      <c r="DL40" s="581"/>
      <c r="DM40" s="581"/>
      <c r="DN40" s="581"/>
      <c r="DO40" s="581"/>
      <c r="DP40" s="581"/>
      <c r="DQ40" s="581"/>
      <c r="DR40" s="581"/>
      <c r="DS40" s="581"/>
      <c r="DT40" s="581"/>
      <c r="DU40" s="581"/>
      <c r="DV40" s="581"/>
      <c r="DW40" s="581"/>
      <c r="DX40" s="581"/>
      <c r="DY40" s="581"/>
      <c r="DZ40" s="581"/>
      <c r="EA40" s="581"/>
      <c r="EB40" s="581"/>
      <c r="EC40" s="581"/>
      <c r="ED40" s="581"/>
      <c r="EE40" s="581"/>
      <c r="EF40" s="581"/>
      <c r="EG40" s="581"/>
      <c r="EH40" s="581"/>
      <c r="EI40" s="581"/>
      <c r="EJ40" s="581"/>
    </row>
    <row r="41" spans="1:140" ht="25.5">
      <c r="A41" s="595" t="s">
        <v>738</v>
      </c>
      <c r="B41" s="600"/>
      <c r="C41" s="600"/>
      <c r="D41" s="600"/>
      <c r="F41" s="647"/>
      <c r="G41" s="648"/>
      <c r="H41" s="649"/>
      <c r="J41" s="619"/>
      <c r="K41" s="651"/>
      <c r="L41" s="652"/>
      <c r="U41" s="654"/>
      <c r="V41" s="653"/>
      <c r="W41" s="653"/>
      <c r="X41" s="653"/>
      <c r="Y41" s="653"/>
      <c r="Z41" s="655"/>
      <c r="AA41" s="653"/>
      <c r="AB41" s="653"/>
      <c r="AC41" s="653"/>
      <c r="AD41" s="653"/>
      <c r="AE41" s="655"/>
      <c r="AG41" s="578"/>
      <c r="AH41" s="578"/>
      <c r="AI41" s="578"/>
      <c r="AJ41" s="578"/>
      <c r="AK41" s="578"/>
      <c r="AL41" s="579"/>
      <c r="AM41" s="580"/>
      <c r="AN41" s="581"/>
      <c r="AO41" s="581"/>
      <c r="AP41" s="579"/>
      <c r="AQ41" s="582"/>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c r="CJ41" s="581"/>
      <c r="CK41" s="581"/>
      <c r="CL41" s="581"/>
      <c r="CM41" s="581"/>
      <c r="CN41" s="581"/>
      <c r="CO41" s="581"/>
      <c r="CP41" s="581"/>
      <c r="CQ41" s="581"/>
      <c r="CR41" s="581"/>
      <c r="CS41" s="581"/>
      <c r="CT41" s="581"/>
      <c r="CU41" s="581"/>
      <c r="CV41" s="581"/>
      <c r="CW41" s="581"/>
      <c r="CX41" s="581"/>
      <c r="CY41" s="581"/>
      <c r="CZ41" s="581"/>
      <c r="DA41" s="581"/>
      <c r="DB41" s="581"/>
      <c r="DC41" s="581"/>
      <c r="DD41" s="581"/>
      <c r="DE41" s="581"/>
      <c r="DF41" s="581"/>
      <c r="DG41" s="581"/>
      <c r="DH41" s="581"/>
      <c r="DI41" s="581"/>
      <c r="DJ41" s="581"/>
      <c r="DK41" s="581"/>
      <c r="DL41" s="581"/>
      <c r="DM41" s="581"/>
      <c r="DN41" s="581"/>
      <c r="DO41" s="581"/>
      <c r="DP41" s="581"/>
      <c r="DQ41" s="581"/>
      <c r="DR41" s="581"/>
      <c r="DS41" s="581"/>
      <c r="DT41" s="581"/>
      <c r="DU41" s="581"/>
      <c r="DV41" s="581"/>
      <c r="DW41" s="581"/>
      <c r="DX41" s="581"/>
      <c r="DY41" s="581"/>
      <c r="DZ41" s="581"/>
      <c r="EA41" s="581"/>
      <c r="EB41" s="581"/>
      <c r="EC41" s="581"/>
      <c r="ED41" s="581"/>
      <c r="EE41" s="581"/>
      <c r="EF41" s="581"/>
      <c r="EG41" s="581"/>
      <c r="EH41" s="581"/>
      <c r="EI41" s="581"/>
      <c r="EJ41" s="581"/>
    </row>
    <row r="42" spans="2:140" ht="15">
      <c r="B42" s="600"/>
      <c r="C42" s="600"/>
      <c r="D42" s="600"/>
      <c r="F42" s="647"/>
      <c r="G42" s="648"/>
      <c r="H42" s="649"/>
      <c r="J42" s="619"/>
      <c r="K42" s="651"/>
      <c r="L42" s="652"/>
      <c r="U42" s="654"/>
      <c r="V42" s="653"/>
      <c r="W42" s="653"/>
      <c r="X42" s="653"/>
      <c r="Y42" s="653"/>
      <c r="Z42" s="655"/>
      <c r="AA42" s="653"/>
      <c r="AB42" s="653"/>
      <c r="AC42" s="653"/>
      <c r="AD42" s="653"/>
      <c r="AE42" s="655"/>
      <c r="AG42" s="578"/>
      <c r="AH42" s="578"/>
      <c r="AI42" s="578"/>
      <c r="AJ42" s="578"/>
      <c r="AK42" s="578"/>
      <c r="AL42" s="579"/>
      <c r="AM42" s="580"/>
      <c r="AN42" s="581"/>
      <c r="AO42" s="581"/>
      <c r="AP42" s="579"/>
      <c r="AQ42" s="582"/>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c r="BZ42" s="581"/>
      <c r="CA42" s="581"/>
      <c r="CB42" s="581"/>
      <c r="CC42" s="581"/>
      <c r="CD42" s="581"/>
      <c r="CE42" s="581"/>
      <c r="CF42" s="581"/>
      <c r="CG42" s="581"/>
      <c r="CH42" s="581"/>
      <c r="CI42" s="581"/>
      <c r="CJ42" s="581"/>
      <c r="CK42" s="581"/>
      <c r="CL42" s="581"/>
      <c r="CM42" s="581"/>
      <c r="CN42" s="581"/>
      <c r="CO42" s="581"/>
      <c r="CP42" s="581"/>
      <c r="CQ42" s="581"/>
      <c r="CR42" s="581"/>
      <c r="CS42" s="581"/>
      <c r="CT42" s="581"/>
      <c r="CU42" s="581"/>
      <c r="CV42" s="581"/>
      <c r="CW42" s="581"/>
      <c r="CX42" s="581"/>
      <c r="CY42" s="581"/>
      <c r="CZ42" s="581"/>
      <c r="DA42" s="581"/>
      <c r="DB42" s="581"/>
      <c r="DC42" s="581"/>
      <c r="DD42" s="581"/>
      <c r="DE42" s="581"/>
      <c r="DF42" s="581"/>
      <c r="DG42" s="581"/>
      <c r="DH42" s="581"/>
      <c r="DI42" s="581"/>
      <c r="DJ42" s="581"/>
      <c r="DK42" s="581"/>
      <c r="DL42" s="581"/>
      <c r="DM42" s="581"/>
      <c r="DN42" s="581"/>
      <c r="DO42" s="581"/>
      <c r="DP42" s="581"/>
      <c r="DQ42" s="581"/>
      <c r="DR42" s="581"/>
      <c r="DS42" s="581"/>
      <c r="DT42" s="581"/>
      <c r="DU42" s="581"/>
      <c r="DV42" s="581"/>
      <c r="DW42" s="581"/>
      <c r="DX42" s="581"/>
      <c r="DY42" s="581"/>
      <c r="DZ42" s="581"/>
      <c r="EA42" s="581"/>
      <c r="EB42" s="581"/>
      <c r="EC42" s="581"/>
      <c r="ED42" s="581"/>
      <c r="EE42" s="581"/>
      <c r="EF42" s="581"/>
      <c r="EG42" s="581"/>
      <c r="EH42" s="581"/>
      <c r="EI42" s="581"/>
      <c r="EJ42" s="581"/>
    </row>
    <row r="43" spans="1:140" s="662" customFormat="1" ht="31.5">
      <c r="A43" s="631" t="s">
        <v>45</v>
      </c>
      <c r="B43" s="631"/>
      <c r="C43" s="631"/>
      <c r="D43" s="624"/>
      <c r="E43" s="631"/>
      <c r="F43" s="656"/>
      <c r="G43" s="657"/>
      <c r="H43" s="658">
        <f>SUM(H22:H41)</f>
        <v>6243460.758</v>
      </c>
      <c r="I43" s="659"/>
      <c r="J43" s="659">
        <f>SUM(J22:J41)</f>
        <v>8103061.458000001</v>
      </c>
      <c r="K43" s="610"/>
      <c r="L43" s="659">
        <f>SUM(L22:L41)</f>
        <v>5442788.020599999</v>
      </c>
      <c r="M43" s="625">
        <f>SUM(M22:M41)</f>
        <v>46652468.747999996</v>
      </c>
      <c r="N43" s="625">
        <f>SUM(N22:N41)</f>
        <v>30324104.6862</v>
      </c>
      <c r="O43" s="639" t="s">
        <v>25</v>
      </c>
      <c r="P43" s="625">
        <f>SUM(P22:P41)</f>
        <v>13131006</v>
      </c>
      <c r="Q43" s="625">
        <f>SUM(Q22:Q41)</f>
        <v>0</v>
      </c>
      <c r="R43" s="625">
        <f>SUM(R22:R41)</f>
        <v>0</v>
      </c>
      <c r="S43" s="625">
        <f>SUM(S22:S41)</f>
        <v>33521462.748</v>
      </c>
      <c r="T43" s="625">
        <f>SUM(T22:T41)</f>
        <v>46652468.747999996</v>
      </c>
      <c r="U43" s="608">
        <v>2494006.935666667</v>
      </c>
      <c r="V43" s="630">
        <f aca="true" t="shared" si="24" ref="V43:AE43">SUM(V22:V41)</f>
        <v>2188501</v>
      </c>
      <c r="W43" s="630">
        <f t="shared" si="24"/>
        <v>0</v>
      </c>
      <c r="X43" s="630">
        <f t="shared" si="24"/>
        <v>0</v>
      </c>
      <c r="Y43" s="630">
        <f t="shared" si="24"/>
        <v>5586910.458000001</v>
      </c>
      <c r="Z43" s="630">
        <f t="shared" si="24"/>
        <v>7775411.458000001</v>
      </c>
      <c r="AA43" s="630">
        <f t="shared" si="24"/>
        <v>1531950.7</v>
      </c>
      <c r="AB43" s="630">
        <f t="shared" si="24"/>
        <v>0</v>
      </c>
      <c r="AC43" s="630">
        <f t="shared" si="24"/>
        <v>0</v>
      </c>
      <c r="AD43" s="630">
        <f t="shared" si="24"/>
        <v>3910837.3205999997</v>
      </c>
      <c r="AE43" s="630">
        <f t="shared" si="24"/>
        <v>5442788.020599999</v>
      </c>
      <c r="AF43" s="543"/>
      <c r="AG43" s="837"/>
      <c r="AH43" s="837"/>
      <c r="AI43" s="837"/>
      <c r="AJ43" s="837"/>
      <c r="AK43" s="837"/>
      <c r="AL43" s="818"/>
      <c r="AM43" s="816"/>
      <c r="AN43" s="817"/>
      <c r="AO43" s="817"/>
      <c r="AP43" s="818"/>
      <c r="AQ43" s="838"/>
      <c r="AR43" s="817"/>
      <c r="AS43" s="817"/>
      <c r="AT43" s="817"/>
      <c r="AU43" s="817"/>
      <c r="AV43" s="817"/>
      <c r="AW43" s="817"/>
      <c r="AX43" s="817"/>
      <c r="AY43" s="817"/>
      <c r="AZ43" s="817"/>
      <c r="BA43" s="817"/>
      <c r="BB43" s="817"/>
      <c r="BC43" s="817"/>
      <c r="BD43" s="817"/>
      <c r="BE43" s="817"/>
      <c r="BF43" s="817"/>
      <c r="BG43" s="817"/>
      <c r="BH43" s="817"/>
      <c r="BI43" s="817"/>
      <c r="BJ43" s="817"/>
      <c r="BK43" s="817"/>
      <c r="BL43" s="817"/>
      <c r="BM43" s="817"/>
      <c r="BN43" s="817"/>
      <c r="BO43" s="817"/>
      <c r="BP43" s="817"/>
      <c r="BQ43" s="817"/>
      <c r="BR43" s="817"/>
      <c r="BS43" s="817"/>
      <c r="BT43" s="817"/>
      <c r="BU43" s="817"/>
      <c r="BV43" s="817"/>
      <c r="BW43" s="817"/>
      <c r="BX43" s="817"/>
      <c r="BY43" s="817"/>
      <c r="BZ43" s="817"/>
      <c r="CA43" s="817"/>
      <c r="CB43" s="817"/>
      <c r="CC43" s="817"/>
      <c r="CD43" s="817"/>
      <c r="CE43" s="817"/>
      <c r="CF43" s="817"/>
      <c r="CG43" s="817"/>
      <c r="CH43" s="817"/>
      <c r="CI43" s="817"/>
      <c r="CJ43" s="817"/>
      <c r="CK43" s="817"/>
      <c r="CL43" s="817"/>
      <c r="CM43" s="817"/>
      <c r="CN43" s="817"/>
      <c r="CO43" s="817"/>
      <c r="CP43" s="817"/>
      <c r="CQ43" s="817"/>
      <c r="CR43" s="817"/>
      <c r="CS43" s="817"/>
      <c r="CT43" s="817"/>
      <c r="CU43" s="817"/>
      <c r="CV43" s="817"/>
      <c r="CW43" s="817"/>
      <c r="CX43" s="817"/>
      <c r="CY43" s="817"/>
      <c r="CZ43" s="817"/>
      <c r="DA43" s="817"/>
      <c r="DB43" s="817"/>
      <c r="DC43" s="817"/>
      <c r="DD43" s="817"/>
      <c r="DE43" s="817"/>
      <c r="DF43" s="817"/>
      <c r="DG43" s="817"/>
      <c r="DH43" s="817"/>
      <c r="DI43" s="817"/>
      <c r="DJ43" s="817"/>
      <c r="DK43" s="817"/>
      <c r="DL43" s="817"/>
      <c r="DM43" s="817"/>
      <c r="DN43" s="817"/>
      <c r="DO43" s="817"/>
      <c r="DP43" s="817"/>
      <c r="DQ43" s="817"/>
      <c r="DR43" s="817"/>
      <c r="DS43" s="817"/>
      <c r="DT43" s="817"/>
      <c r="DU43" s="817"/>
      <c r="DV43" s="817"/>
      <c r="DW43" s="817"/>
      <c r="DX43" s="817"/>
      <c r="DY43" s="817"/>
      <c r="DZ43" s="817"/>
      <c r="EA43" s="817"/>
      <c r="EB43" s="817"/>
      <c r="EC43" s="817"/>
      <c r="ED43" s="817"/>
      <c r="EE43" s="817"/>
      <c r="EF43" s="817"/>
      <c r="EG43" s="817"/>
      <c r="EH43" s="817"/>
      <c r="EI43" s="817"/>
      <c r="EJ43" s="817"/>
    </row>
    <row r="44" spans="1:140" ht="31.5">
      <c r="A44" s="624" t="s">
        <v>929</v>
      </c>
      <c r="B44" s="624"/>
      <c r="C44" s="624"/>
      <c r="D44" s="624"/>
      <c r="E44" s="624"/>
      <c r="F44" s="645"/>
      <c r="I44" s="586"/>
      <c r="J44" s="586"/>
      <c r="K44" s="623"/>
      <c r="L44" s="623"/>
      <c r="M44" s="590"/>
      <c r="N44" s="590"/>
      <c r="O44" s="591"/>
      <c r="P44" s="590"/>
      <c r="Q44" s="590"/>
      <c r="R44" s="590"/>
      <c r="S44" s="590"/>
      <c r="T44" s="590"/>
      <c r="U44" s="608"/>
      <c r="V44" s="608"/>
      <c r="W44" s="608"/>
      <c r="X44" s="608"/>
      <c r="Y44" s="608"/>
      <c r="Z44" s="608"/>
      <c r="AA44" s="608"/>
      <c r="AB44" s="608"/>
      <c r="AC44" s="608"/>
      <c r="AD44" s="608"/>
      <c r="AE44" s="608"/>
      <c r="AG44" s="578"/>
      <c r="AH44" s="578"/>
      <c r="AI44" s="578"/>
      <c r="AJ44" s="578"/>
      <c r="AK44" s="578"/>
      <c r="AL44" s="579"/>
      <c r="AM44" s="580"/>
      <c r="AN44" s="581"/>
      <c r="AO44" s="581"/>
      <c r="AP44" s="579"/>
      <c r="AQ44" s="582"/>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581"/>
      <c r="CT44" s="581"/>
      <c r="CU44" s="581"/>
      <c r="CV44" s="581"/>
      <c r="CW44" s="581"/>
      <c r="CX44" s="581"/>
      <c r="CY44" s="581"/>
      <c r="CZ44" s="581"/>
      <c r="DA44" s="581"/>
      <c r="DB44" s="581"/>
      <c r="DC44" s="581"/>
      <c r="DD44" s="581"/>
      <c r="DE44" s="581"/>
      <c r="DF44" s="581"/>
      <c r="DG44" s="581"/>
      <c r="DH44" s="581"/>
      <c r="DI44" s="581"/>
      <c r="DJ44" s="581"/>
      <c r="DK44" s="581"/>
      <c r="DL44" s="581"/>
      <c r="DM44" s="581"/>
      <c r="DN44" s="581"/>
      <c r="DO44" s="581"/>
      <c r="DP44" s="581"/>
      <c r="DQ44" s="581"/>
      <c r="DR44" s="581"/>
      <c r="DS44" s="581"/>
      <c r="DT44" s="581"/>
      <c r="DU44" s="581"/>
      <c r="DV44" s="581"/>
      <c r="DW44" s="581"/>
      <c r="DX44" s="581"/>
      <c r="DY44" s="581"/>
      <c r="DZ44" s="581"/>
      <c r="EA44" s="581"/>
      <c r="EB44" s="581"/>
      <c r="EC44" s="581"/>
      <c r="ED44" s="581"/>
      <c r="EE44" s="581"/>
      <c r="EF44" s="581"/>
      <c r="EG44" s="581"/>
      <c r="EH44" s="581"/>
      <c r="EI44" s="581"/>
      <c r="EJ44" s="581"/>
    </row>
    <row r="45" spans="1:140" s="603" customFormat="1" ht="15.75">
      <c r="A45" s="600"/>
      <c r="B45" s="600"/>
      <c r="C45" s="600"/>
      <c r="D45" s="600"/>
      <c r="E45" s="600"/>
      <c r="F45" s="645"/>
      <c r="G45" s="584"/>
      <c r="H45" s="586">
        <f>(F45*G45*0.05)/6</f>
        <v>0</v>
      </c>
      <c r="I45" s="586" t="e">
        <f>J45/G45</f>
        <v>#DIV/0!</v>
      </c>
      <c r="J45" s="587"/>
      <c r="K45" s="606"/>
      <c r="L45" s="607">
        <v>0</v>
      </c>
      <c r="M45" s="590" t="e">
        <f>(F45*G45)*(BudgetYears/K45)</f>
        <v>#DIV/0!</v>
      </c>
      <c r="N45" s="590" t="e">
        <f>(M45)-(L45*3)</f>
        <v>#DIV/0!</v>
      </c>
      <c r="O45" s="591"/>
      <c r="P45" s="590">
        <f>IF($O45="S/L or L",$M45,0)</f>
        <v>0</v>
      </c>
      <c r="Q45" s="590">
        <f>IF($O45="L",$M45,0)</f>
        <v>0</v>
      </c>
      <c r="R45" s="590">
        <f>IF($O45="S",$M45,0)</f>
        <v>0</v>
      </c>
      <c r="S45" s="590">
        <f>IF($O45="F",$M45,0)</f>
        <v>0</v>
      </c>
      <c r="T45" s="590">
        <f>SUM(P45:S45)</f>
        <v>0</v>
      </c>
      <c r="U45" s="608" t="s">
        <v>25</v>
      </c>
      <c r="V45" s="590">
        <f>IF($O45="S/L or L",$J45,0)</f>
        <v>0</v>
      </c>
      <c r="W45" s="590">
        <f>IF($O45="L",$J45,0)</f>
        <v>0</v>
      </c>
      <c r="X45" s="590">
        <f>IF($O45="S",$J45,0)</f>
        <v>0</v>
      </c>
      <c r="Y45" s="590">
        <f>IF($O45="F",$J45,0)</f>
        <v>0</v>
      </c>
      <c r="Z45" s="593">
        <f>SUM(V45:Y45)</f>
        <v>0</v>
      </c>
      <c r="AA45" s="590">
        <f>IF($O45="S/L or L",$L45,0)</f>
        <v>0</v>
      </c>
      <c r="AB45" s="590">
        <f>IF($O45="L",$L45,0)</f>
        <v>0</v>
      </c>
      <c r="AC45" s="590">
        <f>IF($O45="S",$L45,0)</f>
        <v>0</v>
      </c>
      <c r="AD45" s="590">
        <f>IF($O45="F",$L45,0)</f>
        <v>0</v>
      </c>
      <c r="AE45" s="593">
        <f>SUM(AA45:AD45)</f>
        <v>0</v>
      </c>
      <c r="AF45" s="599"/>
      <c r="AG45" s="758"/>
      <c r="AH45" s="760"/>
      <c r="AI45" s="759"/>
      <c r="AJ45" s="839"/>
      <c r="AK45" s="758"/>
      <c r="AL45" s="734"/>
      <c r="AM45" s="800"/>
      <c r="AN45" s="569"/>
      <c r="AO45" s="569"/>
      <c r="AP45" s="734"/>
      <c r="AQ45" s="575"/>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c r="DY45" s="569"/>
      <c r="DZ45" s="569"/>
      <c r="EA45" s="569"/>
      <c r="EB45" s="569"/>
      <c r="EC45" s="569"/>
      <c r="ED45" s="569"/>
      <c r="EE45" s="569"/>
      <c r="EF45" s="569"/>
      <c r="EG45" s="569"/>
      <c r="EH45" s="569"/>
      <c r="EI45" s="569"/>
      <c r="EJ45" s="569"/>
    </row>
    <row r="46" spans="1:140" ht="15.75">
      <c r="A46" s="761"/>
      <c r="B46" s="600"/>
      <c r="C46" s="600"/>
      <c r="D46" s="600"/>
      <c r="E46" s="761"/>
      <c r="F46" s="583"/>
      <c r="I46" s="586"/>
      <c r="J46" s="587"/>
      <c r="K46" s="606"/>
      <c r="L46" s="607"/>
      <c r="M46" s="590"/>
      <c r="N46" s="590"/>
      <c r="O46" s="591"/>
      <c r="P46" s="590"/>
      <c r="Q46" s="590"/>
      <c r="R46" s="590"/>
      <c r="S46" s="590"/>
      <c r="T46" s="590"/>
      <c r="U46" s="608"/>
      <c r="V46" s="590"/>
      <c r="W46" s="590"/>
      <c r="X46" s="590"/>
      <c r="Y46" s="590"/>
      <c r="Z46" s="593"/>
      <c r="AA46" s="590"/>
      <c r="AB46" s="590"/>
      <c r="AC46" s="590"/>
      <c r="AD46" s="590"/>
      <c r="AE46" s="593"/>
      <c r="AG46" s="839"/>
      <c r="AH46" s="578"/>
      <c r="AI46" s="578"/>
      <c r="AJ46" s="578"/>
      <c r="AK46" s="578"/>
      <c r="AL46" s="579"/>
      <c r="AM46" s="580"/>
      <c r="AN46" s="581"/>
      <c r="AO46" s="581"/>
      <c r="AP46" s="579"/>
      <c r="AQ46" s="582"/>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1"/>
      <c r="BO46" s="581"/>
      <c r="BP46" s="581"/>
      <c r="BQ46" s="581"/>
      <c r="BR46" s="581"/>
      <c r="BS46" s="581"/>
      <c r="BT46" s="581"/>
      <c r="BU46" s="581"/>
      <c r="BV46" s="581"/>
      <c r="BW46" s="581"/>
      <c r="BX46" s="581"/>
      <c r="BY46" s="581"/>
      <c r="BZ46" s="581"/>
      <c r="CA46" s="581"/>
      <c r="CB46" s="581"/>
      <c r="CC46" s="581"/>
      <c r="CD46" s="581"/>
      <c r="CE46" s="581"/>
      <c r="CF46" s="581"/>
      <c r="CG46" s="581"/>
      <c r="CH46" s="581"/>
      <c r="CI46" s="581"/>
      <c r="CJ46" s="581"/>
      <c r="CK46" s="581"/>
      <c r="CL46" s="581"/>
      <c r="CM46" s="581"/>
      <c r="CN46" s="581"/>
      <c r="CO46" s="581"/>
      <c r="CP46" s="581"/>
      <c r="CQ46" s="581"/>
      <c r="CR46" s="581"/>
      <c r="CS46" s="581"/>
      <c r="CT46" s="581"/>
      <c r="CU46" s="581"/>
      <c r="CV46" s="581"/>
      <c r="CW46" s="581"/>
      <c r="CX46" s="581"/>
      <c r="CY46" s="581"/>
      <c r="CZ46" s="581"/>
      <c r="DA46" s="581"/>
      <c r="DB46" s="581"/>
      <c r="DC46" s="581"/>
      <c r="DD46" s="581"/>
      <c r="DE46" s="581"/>
      <c r="DF46" s="581"/>
      <c r="DG46" s="581"/>
      <c r="DH46" s="581"/>
      <c r="DI46" s="581"/>
      <c r="DJ46" s="581"/>
      <c r="DK46" s="581"/>
      <c r="DL46" s="581"/>
      <c r="DM46" s="581"/>
      <c r="DN46" s="581"/>
      <c r="DO46" s="581"/>
      <c r="DP46" s="581"/>
      <c r="DQ46" s="581"/>
      <c r="DR46" s="581"/>
      <c r="DS46" s="581"/>
      <c r="DT46" s="581"/>
      <c r="DU46" s="581"/>
      <c r="DV46" s="581"/>
      <c r="DW46" s="581"/>
      <c r="DX46" s="581"/>
      <c r="DY46" s="581"/>
      <c r="DZ46" s="581"/>
      <c r="EA46" s="581"/>
      <c r="EB46" s="581"/>
      <c r="EC46" s="581"/>
      <c r="ED46" s="581"/>
      <c r="EE46" s="581"/>
      <c r="EF46" s="581"/>
      <c r="EG46" s="581"/>
      <c r="EH46" s="581"/>
      <c r="EI46" s="581"/>
      <c r="EJ46" s="581"/>
    </row>
    <row r="47" spans="1:140" s="603" customFormat="1" ht="15.75">
      <c r="A47" s="600"/>
      <c r="B47" s="600"/>
      <c r="C47" s="600"/>
      <c r="D47" s="600"/>
      <c r="E47" s="600"/>
      <c r="F47" s="583"/>
      <c r="G47" s="604"/>
      <c r="H47" s="586"/>
      <c r="I47" s="586"/>
      <c r="J47" s="587"/>
      <c r="K47" s="606"/>
      <c r="L47" s="607"/>
      <c r="M47" s="590"/>
      <c r="N47" s="590"/>
      <c r="O47" s="591"/>
      <c r="P47" s="590"/>
      <c r="Q47" s="590"/>
      <c r="R47" s="590"/>
      <c r="S47" s="590"/>
      <c r="T47" s="590"/>
      <c r="U47" s="608"/>
      <c r="V47" s="590"/>
      <c r="W47" s="590"/>
      <c r="X47" s="590"/>
      <c r="Y47" s="590"/>
      <c r="Z47" s="593"/>
      <c r="AA47" s="590"/>
      <c r="AB47" s="590"/>
      <c r="AC47" s="590"/>
      <c r="AD47" s="590"/>
      <c r="AE47" s="593"/>
      <c r="AF47" s="599"/>
      <c r="AG47" s="758"/>
      <c r="AH47" s="760"/>
      <c r="AI47" s="759"/>
      <c r="AJ47" s="758"/>
      <c r="AK47" s="758"/>
      <c r="AL47" s="734"/>
      <c r="AM47" s="800"/>
      <c r="AN47" s="569"/>
      <c r="AO47" s="569"/>
      <c r="AP47" s="734"/>
      <c r="AQ47" s="575"/>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c r="DY47" s="569"/>
      <c r="DZ47" s="569"/>
      <c r="EA47" s="569"/>
      <c r="EB47" s="569"/>
      <c r="EC47" s="569"/>
      <c r="ED47" s="569"/>
      <c r="EE47" s="569"/>
      <c r="EF47" s="569"/>
      <c r="EG47" s="569"/>
      <c r="EH47" s="569"/>
      <c r="EI47" s="569"/>
      <c r="EJ47" s="569"/>
    </row>
    <row r="48" spans="1:140" s="603" customFormat="1" ht="15.75">
      <c r="A48" s="600"/>
      <c r="B48" s="600"/>
      <c r="C48" s="600"/>
      <c r="D48" s="600"/>
      <c r="E48" s="600"/>
      <c r="F48" s="583"/>
      <c r="G48" s="604"/>
      <c r="H48" s="586"/>
      <c r="I48" s="586"/>
      <c r="J48" s="587"/>
      <c r="K48" s="606"/>
      <c r="L48" s="607"/>
      <c r="M48" s="590"/>
      <c r="N48" s="590"/>
      <c r="O48" s="591"/>
      <c r="P48" s="590"/>
      <c r="Q48" s="590"/>
      <c r="R48" s="590"/>
      <c r="S48" s="590"/>
      <c r="T48" s="590"/>
      <c r="U48" s="608"/>
      <c r="V48" s="590"/>
      <c r="W48" s="590"/>
      <c r="X48" s="590"/>
      <c r="Y48" s="590"/>
      <c r="Z48" s="593"/>
      <c r="AA48" s="590"/>
      <c r="AB48" s="590"/>
      <c r="AC48" s="590"/>
      <c r="AD48" s="590"/>
      <c r="AE48" s="593"/>
      <c r="AF48" s="599"/>
      <c r="AG48" s="578"/>
      <c r="AH48" s="578"/>
      <c r="AI48" s="578"/>
      <c r="AJ48" s="578"/>
      <c r="AK48" s="578"/>
      <c r="AL48" s="734"/>
      <c r="AM48" s="800"/>
      <c r="AN48" s="569"/>
      <c r="AO48" s="569"/>
      <c r="AP48" s="734"/>
      <c r="AQ48" s="575"/>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69"/>
      <c r="DX48" s="569"/>
      <c r="DY48" s="569"/>
      <c r="DZ48" s="569"/>
      <c r="EA48" s="569"/>
      <c r="EB48" s="569"/>
      <c r="EC48" s="569"/>
      <c r="ED48" s="569"/>
      <c r="EE48" s="569"/>
      <c r="EF48" s="569"/>
      <c r="EG48" s="569"/>
      <c r="EH48" s="569"/>
      <c r="EI48" s="569"/>
      <c r="EJ48" s="569"/>
    </row>
    <row r="49" spans="1:140" ht="90">
      <c r="A49" s="600" t="s">
        <v>49</v>
      </c>
      <c r="B49" s="763" t="s">
        <v>959</v>
      </c>
      <c r="C49" s="842" t="s">
        <v>958</v>
      </c>
      <c r="D49" s="600">
        <v>1</v>
      </c>
      <c r="E49" s="600" t="s">
        <v>350</v>
      </c>
      <c r="F49" s="583">
        <v>33265</v>
      </c>
      <c r="G49" s="584">
        <f>Number_of_Schools</f>
        <v>1247</v>
      </c>
      <c r="H49" s="605">
        <f>(F49*G49*0.05)</f>
        <v>2074072.75</v>
      </c>
      <c r="I49" s="586">
        <f>J49/G49</f>
        <v>2217.666666666667</v>
      </c>
      <c r="J49" s="587">
        <f>M49/BudgetYears</f>
        <v>2765430.3333333335</v>
      </c>
      <c r="K49" s="606">
        <v>15</v>
      </c>
      <c r="L49" s="607">
        <f>(USFInternal)*J49</f>
        <v>1935801.2333333334</v>
      </c>
      <c r="M49" s="590">
        <f>(F49*G49)*(BudgetYears/K49)</f>
        <v>16592582</v>
      </c>
      <c r="N49" s="590">
        <f>(M49)-(L49*3)</f>
        <v>10785178.3</v>
      </c>
      <c r="O49" s="591" t="s">
        <v>18</v>
      </c>
      <c r="P49" s="590">
        <f>IF($O49="S/L or L",$M49,0)</f>
        <v>16592582</v>
      </c>
      <c r="Q49" s="590">
        <f>IF($O49="L",$M49,0)</f>
        <v>0</v>
      </c>
      <c r="R49" s="590">
        <f>IF($O49="S",$M49,0)</f>
        <v>0</v>
      </c>
      <c r="S49" s="590">
        <f>IF($O49="F",$M49,0)</f>
        <v>0</v>
      </c>
      <c r="T49" s="590">
        <f>SUM(P49:S49)</f>
        <v>16592582</v>
      </c>
      <c r="U49" s="608" t="s">
        <v>25</v>
      </c>
      <c r="V49" s="590">
        <f>IF($O49="S/L or L",$J49,0)</f>
        <v>2765430.3333333335</v>
      </c>
      <c r="W49" s="590">
        <f>IF($O49="L",$J49,0)</f>
        <v>0</v>
      </c>
      <c r="X49" s="590">
        <f>IF($O49="S",$J49,0)</f>
        <v>0</v>
      </c>
      <c r="Y49" s="590">
        <f>IF($O49="F",$J49,0)</f>
        <v>0</v>
      </c>
      <c r="Z49" s="593">
        <f>SUM(V49:Y49)</f>
        <v>2765430.3333333335</v>
      </c>
      <c r="AA49" s="590">
        <f>IF($O49="S/L or L",$L49,0)</f>
        <v>1935801.2333333334</v>
      </c>
      <c r="AB49" s="590">
        <f>IF($O49="L",$L49,0)</f>
        <v>0</v>
      </c>
      <c r="AC49" s="590">
        <f>IF($O49="S",$L49,0)</f>
        <v>0</v>
      </c>
      <c r="AD49" s="590">
        <f>IF($O49="F",$L49,0)</f>
        <v>0</v>
      </c>
      <c r="AE49" s="593">
        <f>SUM(AA49:AD49)</f>
        <v>1935801.2333333334</v>
      </c>
      <c r="AG49" s="578"/>
      <c r="AH49" s="578"/>
      <c r="AI49" s="578"/>
      <c r="AJ49" s="578"/>
      <c r="AK49" s="578"/>
      <c r="AL49" s="579"/>
      <c r="AM49" s="580"/>
      <c r="AN49" s="581"/>
      <c r="AO49" s="581"/>
      <c r="AP49" s="579"/>
      <c r="AQ49" s="582"/>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c r="BS49" s="581"/>
      <c r="BT49" s="581"/>
      <c r="BU49" s="581"/>
      <c r="BV49" s="581"/>
      <c r="BW49" s="581"/>
      <c r="BX49" s="581"/>
      <c r="BY49" s="581"/>
      <c r="BZ49" s="581"/>
      <c r="CA49" s="581"/>
      <c r="CB49" s="581"/>
      <c r="CC49" s="581"/>
      <c r="CD49" s="581"/>
      <c r="CE49" s="581"/>
      <c r="CF49" s="581"/>
      <c r="CG49" s="581"/>
      <c r="CH49" s="581"/>
      <c r="CI49" s="581"/>
      <c r="CJ49" s="581"/>
      <c r="CK49" s="581"/>
      <c r="CL49" s="581"/>
      <c r="CM49" s="581"/>
      <c r="CN49" s="581"/>
      <c r="CO49" s="581"/>
      <c r="CP49" s="581"/>
      <c r="CQ49" s="581"/>
      <c r="CR49" s="581"/>
      <c r="CS49" s="581"/>
      <c r="CT49" s="581"/>
      <c r="CU49" s="581"/>
      <c r="CV49" s="581"/>
      <c r="CW49" s="581"/>
      <c r="CX49" s="581"/>
      <c r="CY49" s="581"/>
      <c r="CZ49" s="581"/>
      <c r="DA49" s="581"/>
      <c r="DB49" s="581"/>
      <c r="DC49" s="581"/>
      <c r="DD49" s="581"/>
      <c r="DE49" s="581"/>
      <c r="DF49" s="581"/>
      <c r="DG49" s="581"/>
      <c r="DH49" s="581"/>
      <c r="DI49" s="581"/>
      <c r="DJ49" s="581"/>
      <c r="DK49" s="581"/>
      <c r="DL49" s="581"/>
      <c r="DM49" s="581"/>
      <c r="DN49" s="581"/>
      <c r="DO49" s="581"/>
      <c r="DP49" s="581"/>
      <c r="DQ49" s="581"/>
      <c r="DR49" s="581"/>
      <c r="DS49" s="581"/>
      <c r="DT49" s="581"/>
      <c r="DU49" s="581"/>
      <c r="DV49" s="581"/>
      <c r="DW49" s="581"/>
      <c r="DX49" s="581"/>
      <c r="DY49" s="581"/>
      <c r="DZ49" s="581"/>
      <c r="EA49" s="581"/>
      <c r="EB49" s="581"/>
      <c r="EC49" s="581"/>
      <c r="ED49" s="581"/>
      <c r="EE49" s="581"/>
      <c r="EF49" s="581"/>
      <c r="EG49" s="581"/>
      <c r="EH49" s="581"/>
      <c r="EI49" s="581"/>
      <c r="EJ49" s="581"/>
    </row>
    <row r="50" spans="1:140" ht="15.75">
      <c r="A50" s="631" t="s">
        <v>50</v>
      </c>
      <c r="B50" s="631"/>
      <c r="C50" s="631"/>
      <c r="D50" s="624"/>
      <c r="E50" s="631"/>
      <c r="F50" s="583"/>
      <c r="H50" s="658">
        <f>SUM(H45:H49)</f>
        <v>2074072.75</v>
      </c>
      <c r="I50" s="586"/>
      <c r="J50" s="659">
        <f>SUM(J45:J49)</f>
        <v>2765430.3333333335</v>
      </c>
      <c r="K50" s="623"/>
      <c r="L50" s="659">
        <f>SUM(L45:L49)</f>
        <v>1935801.2333333334</v>
      </c>
      <c r="M50" s="625" t="e">
        <f>SUM(M45:M49)</f>
        <v>#DIV/0!</v>
      </c>
      <c r="N50" s="625" t="e">
        <f>SUM(N45:N49)</f>
        <v>#DIV/0!</v>
      </c>
      <c r="O50" s="591" t="s">
        <v>25</v>
      </c>
      <c r="P50" s="625">
        <f>SUM(P45:P49)</f>
        <v>16592582</v>
      </c>
      <c r="Q50" s="625">
        <f>SUM(Q45:Q49)</f>
        <v>0</v>
      </c>
      <c r="R50" s="625">
        <f>SUM(R45:R49)</f>
        <v>0</v>
      </c>
      <c r="S50" s="625">
        <f>SUM(S45:S49)</f>
        <v>0</v>
      </c>
      <c r="T50" s="625">
        <f>SUM(T45:T49)</f>
        <v>16592582</v>
      </c>
      <c r="U50" s="608">
        <v>0</v>
      </c>
      <c r="V50" s="630">
        <f aca="true" t="shared" si="25" ref="V50:AE50">SUM(V45:V49)</f>
        <v>2765430.3333333335</v>
      </c>
      <c r="W50" s="630">
        <f t="shared" si="25"/>
        <v>0</v>
      </c>
      <c r="X50" s="630">
        <f t="shared" si="25"/>
        <v>0</v>
      </c>
      <c r="Y50" s="630">
        <f t="shared" si="25"/>
        <v>0</v>
      </c>
      <c r="Z50" s="630">
        <f t="shared" si="25"/>
        <v>2765430.3333333335</v>
      </c>
      <c r="AA50" s="630">
        <f t="shared" si="25"/>
        <v>1935801.2333333334</v>
      </c>
      <c r="AB50" s="630">
        <f t="shared" si="25"/>
        <v>0</v>
      </c>
      <c r="AC50" s="630">
        <f t="shared" si="25"/>
        <v>0</v>
      </c>
      <c r="AD50" s="630">
        <f t="shared" si="25"/>
        <v>0</v>
      </c>
      <c r="AE50" s="630">
        <f t="shared" si="25"/>
        <v>1935801.2333333334</v>
      </c>
      <c r="AG50" s="578"/>
      <c r="AH50" s="578"/>
      <c r="AI50" s="578"/>
      <c r="AJ50" s="578"/>
      <c r="AK50" s="578"/>
      <c r="AL50" s="579"/>
      <c r="AM50" s="580"/>
      <c r="AN50" s="581"/>
      <c r="AO50" s="581"/>
      <c r="AP50" s="579"/>
      <c r="AQ50" s="582"/>
      <c r="AR50" s="581"/>
      <c r="AS50" s="581"/>
      <c r="AT50" s="581"/>
      <c r="AU50" s="581"/>
      <c r="AV50" s="581"/>
      <c r="AW50" s="581"/>
      <c r="AX50" s="581"/>
      <c r="AY50" s="581"/>
      <c r="AZ50" s="581"/>
      <c r="BA50" s="581"/>
      <c r="BB50" s="581"/>
      <c r="BC50" s="581"/>
      <c r="BD50" s="581"/>
      <c r="BE50" s="581"/>
      <c r="BF50" s="581"/>
      <c r="BG50" s="581"/>
      <c r="BH50" s="581"/>
      <c r="BI50" s="581"/>
      <c r="BJ50" s="581"/>
      <c r="BK50" s="581"/>
      <c r="BL50" s="581"/>
      <c r="BM50" s="581"/>
      <c r="BN50" s="581"/>
      <c r="BO50" s="581"/>
      <c r="BP50" s="581"/>
      <c r="BQ50" s="581"/>
      <c r="BR50" s="581"/>
      <c r="BS50" s="581"/>
      <c r="BT50" s="581"/>
      <c r="BU50" s="581"/>
      <c r="BV50" s="581"/>
      <c r="BW50" s="581"/>
      <c r="BX50" s="581"/>
      <c r="BY50" s="581"/>
      <c r="BZ50" s="581"/>
      <c r="CA50" s="581"/>
      <c r="CB50" s="581"/>
      <c r="CC50" s="581"/>
      <c r="CD50" s="581"/>
      <c r="CE50" s="581"/>
      <c r="CF50" s="581"/>
      <c r="CG50" s="581"/>
      <c r="CH50" s="581"/>
      <c r="CI50" s="581"/>
      <c r="CJ50" s="581"/>
      <c r="CK50" s="581"/>
      <c r="CL50" s="581"/>
      <c r="CM50" s="581"/>
      <c r="CN50" s="581"/>
      <c r="CO50" s="581"/>
      <c r="CP50" s="581"/>
      <c r="CQ50" s="581"/>
      <c r="CR50" s="581"/>
      <c r="CS50" s="581"/>
      <c r="CT50" s="581"/>
      <c r="CU50" s="581"/>
      <c r="CV50" s="581"/>
      <c r="CW50" s="581"/>
      <c r="CX50" s="581"/>
      <c r="CY50" s="581"/>
      <c r="CZ50" s="581"/>
      <c r="DA50" s="581"/>
      <c r="DB50" s="581"/>
      <c r="DC50" s="581"/>
      <c r="DD50" s="581"/>
      <c r="DE50" s="581"/>
      <c r="DF50" s="581"/>
      <c r="DG50" s="581"/>
      <c r="DH50" s="581"/>
      <c r="DI50" s="581"/>
      <c r="DJ50" s="581"/>
      <c r="DK50" s="581"/>
      <c r="DL50" s="581"/>
      <c r="DM50" s="581"/>
      <c r="DN50" s="581"/>
      <c r="DO50" s="581"/>
      <c r="DP50" s="581"/>
      <c r="DQ50" s="581"/>
      <c r="DR50" s="581"/>
      <c r="DS50" s="581"/>
      <c r="DT50" s="581"/>
      <c r="DU50" s="581"/>
      <c r="DV50" s="581"/>
      <c r="DW50" s="581"/>
      <c r="DX50" s="581"/>
      <c r="DY50" s="581"/>
      <c r="DZ50" s="581"/>
      <c r="EA50" s="581"/>
      <c r="EB50" s="581"/>
      <c r="EC50" s="581"/>
      <c r="ED50" s="581"/>
      <c r="EE50" s="581"/>
      <c r="EF50" s="581"/>
      <c r="EG50" s="581"/>
      <c r="EH50" s="581"/>
      <c r="EI50" s="581"/>
      <c r="EJ50" s="581"/>
    </row>
    <row r="51" spans="1:140" s="567" customFormat="1" ht="15.75">
      <c r="A51" s="557" t="s">
        <v>51</v>
      </c>
      <c r="B51" s="557"/>
      <c r="C51" s="557"/>
      <c r="D51" s="557"/>
      <c r="E51" s="557"/>
      <c r="F51" s="558"/>
      <c r="G51" s="559"/>
      <c r="H51" s="560"/>
      <c r="I51" s="561"/>
      <c r="J51" s="561"/>
      <c r="K51" s="562"/>
      <c r="L51" s="562"/>
      <c r="M51" s="563"/>
      <c r="N51" s="563"/>
      <c r="O51" s="564"/>
      <c r="P51" s="563"/>
      <c r="Q51" s="563"/>
      <c r="R51" s="563"/>
      <c r="S51" s="563"/>
      <c r="T51" s="563"/>
      <c r="U51" s="565"/>
      <c r="V51" s="565"/>
      <c r="W51" s="565"/>
      <c r="X51" s="565"/>
      <c r="Y51" s="565"/>
      <c r="Z51" s="565"/>
      <c r="AA51" s="565"/>
      <c r="AB51" s="565"/>
      <c r="AC51" s="565"/>
      <c r="AD51" s="565"/>
      <c r="AE51" s="565"/>
      <c r="AF51" s="566"/>
      <c r="AG51" s="578"/>
      <c r="AH51" s="578"/>
      <c r="AI51" s="578"/>
      <c r="AJ51" s="578"/>
      <c r="AK51" s="578"/>
      <c r="AL51" s="579"/>
      <c r="AM51" s="580"/>
      <c r="AN51" s="581"/>
      <c r="AO51" s="581"/>
      <c r="AP51" s="579"/>
      <c r="AQ51" s="582"/>
      <c r="AR51" s="581"/>
      <c r="AS51" s="581"/>
      <c r="AT51" s="581"/>
      <c r="AU51" s="581"/>
      <c r="AV51" s="581"/>
      <c r="AW51" s="581"/>
      <c r="AX51" s="581"/>
      <c r="AY51" s="581"/>
      <c r="AZ51" s="581"/>
      <c r="BA51" s="581"/>
      <c r="BB51" s="581"/>
      <c r="BC51" s="581"/>
      <c r="BD51" s="581"/>
      <c r="BE51" s="581"/>
      <c r="BF51" s="581"/>
      <c r="BG51" s="581"/>
      <c r="BH51" s="581"/>
      <c r="BI51" s="581"/>
      <c r="BJ51" s="581"/>
      <c r="BK51" s="581"/>
      <c r="BL51" s="581"/>
      <c r="BM51" s="581"/>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581"/>
      <c r="CW51" s="581"/>
      <c r="CX51" s="581"/>
      <c r="CY51" s="581"/>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1"/>
      <c r="EH51" s="581"/>
      <c r="EI51" s="581"/>
      <c r="EJ51" s="581"/>
    </row>
    <row r="52" spans="1:140" ht="15.75">
      <c r="A52" s="600"/>
      <c r="B52" s="600"/>
      <c r="C52" s="600"/>
      <c r="D52" s="600"/>
      <c r="E52" s="600"/>
      <c r="F52" s="645"/>
      <c r="H52" s="658"/>
      <c r="I52" s="586"/>
      <c r="J52" s="587"/>
      <c r="K52" s="606"/>
      <c r="L52" s="607"/>
      <c r="M52" s="590"/>
      <c r="N52" s="590"/>
      <c r="O52" s="591"/>
      <c r="P52" s="590"/>
      <c r="Q52" s="590"/>
      <c r="R52" s="590"/>
      <c r="S52" s="590"/>
      <c r="T52" s="590"/>
      <c r="U52" s="608"/>
      <c r="V52" s="590"/>
      <c r="W52" s="590"/>
      <c r="X52" s="590"/>
      <c r="Y52" s="590"/>
      <c r="Z52" s="593"/>
      <c r="AA52" s="590"/>
      <c r="AB52" s="590"/>
      <c r="AC52" s="590"/>
      <c r="AD52" s="590"/>
      <c r="AE52" s="593"/>
      <c r="AG52" s="578"/>
      <c r="AH52" s="578"/>
      <c r="AI52" s="578"/>
      <c r="AJ52" s="578"/>
      <c r="AK52" s="578"/>
      <c r="AL52" s="579"/>
      <c r="AM52" s="580"/>
      <c r="AN52" s="581"/>
      <c r="AO52" s="581"/>
      <c r="AP52" s="579"/>
      <c r="AQ52" s="582"/>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581"/>
      <c r="CI52" s="581"/>
      <c r="CJ52" s="581"/>
      <c r="CK52" s="581"/>
      <c r="CL52" s="581"/>
      <c r="CM52" s="581"/>
      <c r="CN52" s="581"/>
      <c r="CO52" s="581"/>
      <c r="CP52" s="581"/>
      <c r="CQ52" s="581"/>
      <c r="CR52" s="581"/>
      <c r="CS52" s="581"/>
      <c r="CT52" s="581"/>
      <c r="CU52" s="581"/>
      <c r="CV52" s="581"/>
      <c r="CW52" s="581"/>
      <c r="CX52" s="581"/>
      <c r="CY52" s="581"/>
      <c r="CZ52" s="581"/>
      <c r="DA52" s="581"/>
      <c r="DB52" s="581"/>
      <c r="DC52" s="581"/>
      <c r="DD52" s="581"/>
      <c r="DE52" s="581"/>
      <c r="DF52" s="581"/>
      <c r="DG52" s="581"/>
      <c r="DH52" s="581"/>
      <c r="DI52" s="581"/>
      <c r="DJ52" s="581"/>
      <c r="DK52" s="581"/>
      <c r="DL52" s="581"/>
      <c r="DM52" s="581"/>
      <c r="DN52" s="581"/>
      <c r="DO52" s="581"/>
      <c r="DP52" s="581"/>
      <c r="DQ52" s="581"/>
      <c r="DR52" s="581"/>
      <c r="DS52" s="581"/>
      <c r="DT52" s="581"/>
      <c r="DU52" s="581"/>
      <c r="DV52" s="581"/>
      <c r="DW52" s="581"/>
      <c r="DX52" s="581"/>
      <c r="DY52" s="581"/>
      <c r="DZ52" s="581"/>
      <c r="EA52" s="581"/>
      <c r="EB52" s="581"/>
      <c r="EC52" s="581"/>
      <c r="ED52" s="581"/>
      <c r="EE52" s="581"/>
      <c r="EF52" s="581"/>
      <c r="EG52" s="581"/>
      <c r="EH52" s="581"/>
      <c r="EI52" s="581"/>
      <c r="EJ52" s="581"/>
    </row>
    <row r="53" spans="1:140" s="662" customFormat="1" ht="15.75">
      <c r="A53" s="624" t="s">
        <v>53</v>
      </c>
      <c r="B53" s="624"/>
      <c r="C53" s="624"/>
      <c r="D53" s="624"/>
      <c r="E53" s="624"/>
      <c r="F53" s="663"/>
      <c r="G53" s="657"/>
      <c r="H53" s="658"/>
      <c r="I53" s="586"/>
      <c r="J53" s="659">
        <f>SUM(J52:J52)</f>
        <v>0</v>
      </c>
      <c r="K53" s="610"/>
      <c r="L53" s="659">
        <f>SUM(L52:L52)</f>
        <v>0</v>
      </c>
      <c r="M53" s="625">
        <f>SUM(M52:M52)</f>
        <v>0</v>
      </c>
      <c r="N53" s="625">
        <f>SUM(N52:N52)</f>
        <v>0</v>
      </c>
      <c r="O53" s="639"/>
      <c r="P53" s="625">
        <f>SUM(P52:P52)</f>
        <v>0</v>
      </c>
      <c r="Q53" s="625">
        <f>SUM(Q52:Q52)</f>
        <v>0</v>
      </c>
      <c r="R53" s="625">
        <f>SUM(R52:R52)</f>
        <v>0</v>
      </c>
      <c r="S53" s="625">
        <f>SUM(S52:S52)</f>
        <v>0</v>
      </c>
      <c r="T53" s="625">
        <f>SUM(T52:T52)</f>
        <v>0</v>
      </c>
      <c r="U53" s="593">
        <v>0</v>
      </c>
      <c r="V53" s="593">
        <f aca="true" t="shared" si="26" ref="V53:AE53">SUM(V52:V52)</f>
        <v>0</v>
      </c>
      <c r="W53" s="593">
        <f t="shared" si="26"/>
        <v>0</v>
      </c>
      <c r="X53" s="593">
        <f t="shared" si="26"/>
        <v>0</v>
      </c>
      <c r="Y53" s="593">
        <f t="shared" si="26"/>
        <v>0</v>
      </c>
      <c r="Z53" s="593">
        <f t="shared" si="26"/>
        <v>0</v>
      </c>
      <c r="AA53" s="593">
        <f t="shared" si="26"/>
        <v>0</v>
      </c>
      <c r="AB53" s="593">
        <f t="shared" si="26"/>
        <v>0</v>
      </c>
      <c r="AC53" s="593">
        <f t="shared" si="26"/>
        <v>0</v>
      </c>
      <c r="AD53" s="593">
        <f t="shared" si="26"/>
        <v>0</v>
      </c>
      <c r="AE53" s="593">
        <f t="shared" si="26"/>
        <v>0</v>
      </c>
      <c r="AF53" s="543"/>
      <c r="AG53" s="837"/>
      <c r="AH53" s="837"/>
      <c r="AI53" s="837"/>
      <c r="AJ53" s="837"/>
      <c r="AK53" s="837"/>
      <c r="AL53" s="818"/>
      <c r="AM53" s="816"/>
      <c r="AN53" s="817"/>
      <c r="AO53" s="817"/>
      <c r="AP53" s="818"/>
      <c r="AQ53" s="838"/>
      <c r="AR53" s="817"/>
      <c r="AS53" s="817"/>
      <c r="AT53" s="817"/>
      <c r="AU53" s="817"/>
      <c r="AV53" s="817"/>
      <c r="AW53" s="817"/>
      <c r="AX53" s="817"/>
      <c r="AY53" s="817"/>
      <c r="AZ53" s="817"/>
      <c r="BA53" s="817"/>
      <c r="BB53" s="817"/>
      <c r="BC53" s="817"/>
      <c r="BD53" s="817"/>
      <c r="BE53" s="817"/>
      <c r="BF53" s="817"/>
      <c r="BG53" s="817"/>
      <c r="BH53" s="817"/>
      <c r="BI53" s="817"/>
      <c r="BJ53" s="817"/>
      <c r="BK53" s="817"/>
      <c r="BL53" s="817"/>
      <c r="BM53" s="817"/>
      <c r="BN53" s="817"/>
      <c r="BO53" s="817"/>
      <c r="BP53" s="817"/>
      <c r="BQ53" s="817"/>
      <c r="BR53" s="817"/>
      <c r="BS53" s="817"/>
      <c r="BT53" s="817"/>
      <c r="BU53" s="817"/>
      <c r="BV53" s="817"/>
      <c r="BW53" s="817"/>
      <c r="BX53" s="817"/>
      <c r="BY53" s="817"/>
      <c r="BZ53" s="817"/>
      <c r="CA53" s="817"/>
      <c r="CB53" s="817"/>
      <c r="CC53" s="817"/>
      <c r="CD53" s="817"/>
      <c r="CE53" s="817"/>
      <c r="CF53" s="817"/>
      <c r="CG53" s="817"/>
      <c r="CH53" s="817"/>
      <c r="CI53" s="817"/>
      <c r="CJ53" s="817"/>
      <c r="CK53" s="817"/>
      <c r="CL53" s="817"/>
      <c r="CM53" s="817"/>
      <c r="CN53" s="817"/>
      <c r="CO53" s="817"/>
      <c r="CP53" s="817"/>
      <c r="CQ53" s="817"/>
      <c r="CR53" s="817"/>
      <c r="CS53" s="817"/>
      <c r="CT53" s="817"/>
      <c r="CU53" s="817"/>
      <c r="CV53" s="817"/>
      <c r="CW53" s="817"/>
      <c r="CX53" s="817"/>
      <c r="CY53" s="817"/>
      <c r="CZ53" s="817"/>
      <c r="DA53" s="817"/>
      <c r="DB53" s="817"/>
      <c r="DC53" s="817"/>
      <c r="DD53" s="817"/>
      <c r="DE53" s="817"/>
      <c r="DF53" s="817"/>
      <c r="DG53" s="817"/>
      <c r="DH53" s="817"/>
      <c r="DI53" s="817"/>
      <c r="DJ53" s="817"/>
      <c r="DK53" s="817"/>
      <c r="DL53" s="817"/>
      <c r="DM53" s="817"/>
      <c r="DN53" s="817"/>
      <c r="DO53" s="817"/>
      <c r="DP53" s="817"/>
      <c r="DQ53" s="817"/>
      <c r="DR53" s="817"/>
      <c r="DS53" s="817"/>
      <c r="DT53" s="817"/>
      <c r="DU53" s="817"/>
      <c r="DV53" s="817"/>
      <c r="DW53" s="817"/>
      <c r="DX53" s="817"/>
      <c r="DY53" s="817"/>
      <c r="DZ53" s="817"/>
      <c r="EA53" s="817"/>
      <c r="EB53" s="817"/>
      <c r="EC53" s="817"/>
      <c r="ED53" s="817"/>
      <c r="EE53" s="817"/>
      <c r="EF53" s="817"/>
      <c r="EG53" s="817"/>
      <c r="EH53" s="817"/>
      <c r="EI53" s="817"/>
      <c r="EJ53" s="817"/>
    </row>
    <row r="54" spans="1:140" s="662" customFormat="1" ht="15.75">
      <c r="A54" s="624"/>
      <c r="B54" s="624"/>
      <c r="C54" s="624"/>
      <c r="D54" s="624"/>
      <c r="E54" s="624"/>
      <c r="F54" s="663"/>
      <c r="G54" s="657"/>
      <c r="H54" s="658"/>
      <c r="I54" s="659"/>
      <c r="J54" s="659"/>
      <c r="K54" s="610"/>
      <c r="L54" s="610"/>
      <c r="M54" s="625"/>
      <c r="N54" s="625"/>
      <c r="O54" s="639"/>
      <c r="P54" s="625"/>
      <c r="Q54" s="625"/>
      <c r="R54" s="625"/>
      <c r="S54" s="625"/>
      <c r="T54" s="625"/>
      <c r="U54" s="593"/>
      <c r="V54" s="593"/>
      <c r="W54" s="593"/>
      <c r="X54" s="593"/>
      <c r="Y54" s="593"/>
      <c r="Z54" s="593"/>
      <c r="AA54" s="593"/>
      <c r="AB54" s="593"/>
      <c r="AC54" s="593"/>
      <c r="AD54" s="593"/>
      <c r="AE54" s="593"/>
      <c r="AF54" s="543"/>
      <c r="AG54" s="837"/>
      <c r="AH54" s="837"/>
      <c r="AI54" s="837"/>
      <c r="AJ54" s="837"/>
      <c r="AK54" s="837"/>
      <c r="AL54" s="818"/>
      <c r="AM54" s="816"/>
      <c r="AN54" s="817"/>
      <c r="AO54" s="817"/>
      <c r="AP54" s="818"/>
      <c r="AQ54" s="838"/>
      <c r="AR54" s="817"/>
      <c r="AS54" s="817"/>
      <c r="AT54" s="817"/>
      <c r="AU54" s="817"/>
      <c r="AV54" s="817"/>
      <c r="AW54" s="817"/>
      <c r="AX54" s="817"/>
      <c r="AY54" s="817"/>
      <c r="AZ54" s="817"/>
      <c r="BA54" s="817"/>
      <c r="BB54" s="817"/>
      <c r="BC54" s="817"/>
      <c r="BD54" s="817"/>
      <c r="BE54" s="817"/>
      <c r="BF54" s="817"/>
      <c r="BG54" s="817"/>
      <c r="BH54" s="817"/>
      <c r="BI54" s="817"/>
      <c r="BJ54" s="817"/>
      <c r="BK54" s="817"/>
      <c r="BL54" s="817"/>
      <c r="BM54" s="817"/>
      <c r="BN54" s="817"/>
      <c r="BO54" s="817"/>
      <c r="BP54" s="817"/>
      <c r="BQ54" s="817"/>
      <c r="BR54" s="817"/>
      <c r="BS54" s="817"/>
      <c r="BT54" s="817"/>
      <c r="BU54" s="817"/>
      <c r="BV54" s="817"/>
      <c r="BW54" s="817"/>
      <c r="BX54" s="817"/>
      <c r="BY54" s="817"/>
      <c r="BZ54" s="817"/>
      <c r="CA54" s="817"/>
      <c r="CB54" s="817"/>
      <c r="CC54" s="817"/>
      <c r="CD54" s="817"/>
      <c r="CE54" s="817"/>
      <c r="CF54" s="817"/>
      <c r="CG54" s="817"/>
      <c r="CH54" s="817"/>
      <c r="CI54" s="817"/>
      <c r="CJ54" s="817"/>
      <c r="CK54" s="817"/>
      <c r="CL54" s="817"/>
      <c r="CM54" s="817"/>
      <c r="CN54" s="817"/>
      <c r="CO54" s="817"/>
      <c r="CP54" s="817"/>
      <c r="CQ54" s="817"/>
      <c r="CR54" s="817"/>
      <c r="CS54" s="817"/>
      <c r="CT54" s="817"/>
      <c r="CU54" s="817"/>
      <c r="CV54" s="817"/>
      <c r="CW54" s="817"/>
      <c r="CX54" s="817"/>
      <c r="CY54" s="817"/>
      <c r="CZ54" s="817"/>
      <c r="DA54" s="817"/>
      <c r="DB54" s="817"/>
      <c r="DC54" s="817"/>
      <c r="DD54" s="817"/>
      <c r="DE54" s="817"/>
      <c r="DF54" s="817"/>
      <c r="DG54" s="817"/>
      <c r="DH54" s="817"/>
      <c r="DI54" s="817"/>
      <c r="DJ54" s="817"/>
      <c r="DK54" s="817"/>
      <c r="DL54" s="817"/>
      <c r="DM54" s="817"/>
      <c r="DN54" s="817"/>
      <c r="DO54" s="817"/>
      <c r="DP54" s="817"/>
      <c r="DQ54" s="817"/>
      <c r="DR54" s="817"/>
      <c r="DS54" s="817"/>
      <c r="DT54" s="817"/>
      <c r="DU54" s="817"/>
      <c r="DV54" s="817"/>
      <c r="DW54" s="817"/>
      <c r="DX54" s="817"/>
      <c r="DY54" s="817"/>
      <c r="DZ54" s="817"/>
      <c r="EA54" s="817"/>
      <c r="EB54" s="817"/>
      <c r="EC54" s="817"/>
      <c r="ED54" s="817"/>
      <c r="EE54" s="817"/>
      <c r="EF54" s="817"/>
      <c r="EG54" s="817"/>
      <c r="EH54" s="817"/>
      <c r="EI54" s="817"/>
      <c r="EJ54" s="817"/>
    </row>
    <row r="55" spans="1:140" s="662" customFormat="1" ht="52.5">
      <c r="A55" s="664" t="s">
        <v>54</v>
      </c>
      <c r="B55" s="631"/>
      <c r="C55" s="631"/>
      <c r="D55" s="624"/>
      <c r="E55" s="664"/>
      <c r="F55" s="663"/>
      <c r="G55" s="657"/>
      <c r="H55" s="659">
        <f>H20+H43+H50+H53</f>
        <v>43387980.73247142</v>
      </c>
      <c r="I55" s="659"/>
      <c r="J55" s="762">
        <f>J20+J43+J50+J53</f>
        <v>47704458.64563022</v>
      </c>
      <c r="K55" s="740"/>
      <c r="L55" s="762">
        <f>L20+L43+L50+L53</f>
        <v>8077582.356822222</v>
      </c>
      <c r="M55" s="762" t="e">
        <f>M20+M43+M50+M53</f>
        <v>#DIV/0!</v>
      </c>
      <c r="N55" s="762" t="e">
        <f>N20+N43+N50+N53</f>
        <v>#DIV/0!</v>
      </c>
      <c r="O55" s="665"/>
      <c r="P55" s="762">
        <f aca="true" t="shared" si="27" ref="P55:AE55">P20+P43+P50+P53</f>
        <v>250739389.12578124</v>
      </c>
      <c r="Q55" s="659">
        <f t="shared" si="27"/>
        <v>0</v>
      </c>
      <c r="R55" s="659">
        <f t="shared" si="27"/>
        <v>0</v>
      </c>
      <c r="S55" s="659">
        <f t="shared" si="27"/>
        <v>33521462.748</v>
      </c>
      <c r="T55" s="659">
        <f t="shared" si="27"/>
        <v>284260851.8737812</v>
      </c>
      <c r="U55" s="659">
        <f t="shared" si="27"/>
        <v>15721222.115594428</v>
      </c>
      <c r="V55" s="659">
        <f t="shared" si="27"/>
        <v>41789898.187630214</v>
      </c>
      <c r="W55" s="659">
        <f t="shared" si="27"/>
        <v>0</v>
      </c>
      <c r="X55" s="659">
        <f t="shared" si="27"/>
        <v>0</v>
      </c>
      <c r="Y55" s="659">
        <f t="shared" si="27"/>
        <v>5586910.458000001</v>
      </c>
      <c r="Z55" s="659">
        <f t="shared" si="27"/>
        <v>47376808.64563022</v>
      </c>
      <c r="AA55" s="659">
        <f t="shared" si="27"/>
        <v>4166745.0362222223</v>
      </c>
      <c r="AB55" s="659">
        <f t="shared" si="27"/>
        <v>0</v>
      </c>
      <c r="AC55" s="659">
        <f t="shared" si="27"/>
        <v>0</v>
      </c>
      <c r="AD55" s="659">
        <f t="shared" si="27"/>
        <v>3910837.3205999997</v>
      </c>
      <c r="AE55" s="659">
        <f t="shared" si="27"/>
        <v>8077582.356822222</v>
      </c>
      <c r="AF55" s="543"/>
      <c r="AG55" s="837"/>
      <c r="AH55" s="837"/>
      <c r="AI55" s="837"/>
      <c r="AJ55" s="837"/>
      <c r="AK55" s="837"/>
      <c r="AL55" s="818"/>
      <c r="AM55" s="816"/>
      <c r="AN55" s="817"/>
      <c r="AO55" s="817"/>
      <c r="AP55" s="818"/>
      <c r="AQ55" s="838"/>
      <c r="AR55" s="817"/>
      <c r="AS55" s="817"/>
      <c r="AT55" s="817"/>
      <c r="AU55" s="817"/>
      <c r="AV55" s="817"/>
      <c r="AW55" s="817"/>
      <c r="AX55" s="817"/>
      <c r="AY55" s="817"/>
      <c r="AZ55" s="817"/>
      <c r="BA55" s="817"/>
      <c r="BB55" s="817"/>
      <c r="BC55" s="817"/>
      <c r="BD55" s="817"/>
      <c r="BE55" s="817"/>
      <c r="BF55" s="817"/>
      <c r="BG55" s="817"/>
      <c r="BH55" s="817"/>
      <c r="BI55" s="817"/>
      <c r="BJ55" s="817"/>
      <c r="BK55" s="817"/>
      <c r="BL55" s="817"/>
      <c r="BM55" s="817"/>
      <c r="BN55" s="817"/>
      <c r="BO55" s="817"/>
      <c r="BP55" s="817"/>
      <c r="BQ55" s="817"/>
      <c r="BR55" s="817"/>
      <c r="BS55" s="817"/>
      <c r="BT55" s="817"/>
      <c r="BU55" s="817"/>
      <c r="BV55" s="817"/>
      <c r="BW55" s="817"/>
      <c r="BX55" s="817"/>
      <c r="BY55" s="817"/>
      <c r="BZ55" s="817"/>
      <c r="CA55" s="817"/>
      <c r="CB55" s="817"/>
      <c r="CC55" s="817"/>
      <c r="CD55" s="817"/>
      <c r="CE55" s="817"/>
      <c r="CF55" s="817"/>
      <c r="CG55" s="817"/>
      <c r="CH55" s="817"/>
      <c r="CI55" s="817"/>
      <c r="CJ55" s="817"/>
      <c r="CK55" s="817"/>
      <c r="CL55" s="817"/>
      <c r="CM55" s="817"/>
      <c r="CN55" s="817"/>
      <c r="CO55" s="817"/>
      <c r="CP55" s="817"/>
      <c r="CQ55" s="817"/>
      <c r="CR55" s="817"/>
      <c r="CS55" s="817"/>
      <c r="CT55" s="817"/>
      <c r="CU55" s="817"/>
      <c r="CV55" s="817"/>
      <c r="CW55" s="817"/>
      <c r="CX55" s="817"/>
      <c r="CY55" s="817"/>
      <c r="CZ55" s="817"/>
      <c r="DA55" s="817"/>
      <c r="DB55" s="817"/>
      <c r="DC55" s="817"/>
      <c r="DD55" s="817"/>
      <c r="DE55" s="817"/>
      <c r="DF55" s="817"/>
      <c r="DG55" s="817"/>
      <c r="DH55" s="817"/>
      <c r="DI55" s="817"/>
      <c r="DJ55" s="817"/>
      <c r="DK55" s="817"/>
      <c r="DL55" s="817"/>
      <c r="DM55" s="817"/>
      <c r="DN55" s="817"/>
      <c r="DO55" s="817"/>
      <c r="DP55" s="817"/>
      <c r="DQ55" s="817"/>
      <c r="DR55" s="817"/>
      <c r="DS55" s="817"/>
      <c r="DT55" s="817"/>
      <c r="DU55" s="817"/>
      <c r="DV55" s="817"/>
      <c r="DW55" s="817"/>
      <c r="DX55" s="817"/>
      <c r="DY55" s="817"/>
      <c r="DZ55" s="817"/>
      <c r="EA55" s="817"/>
      <c r="EB55" s="817"/>
      <c r="EC55" s="817"/>
      <c r="ED55" s="817"/>
      <c r="EE55" s="817"/>
      <c r="EF55" s="817"/>
      <c r="EG55" s="817"/>
      <c r="EH55" s="817"/>
      <c r="EI55" s="817"/>
      <c r="EJ55" s="817"/>
    </row>
    <row r="56" spans="1:140" s="662" customFormat="1" ht="16.5" thickBot="1">
      <c r="A56" s="624"/>
      <c r="B56" s="624"/>
      <c r="C56" s="624"/>
      <c r="D56" s="624"/>
      <c r="E56" s="624"/>
      <c r="F56" s="663"/>
      <c r="G56" s="657"/>
      <c r="H56" s="658"/>
      <c r="I56" s="659"/>
      <c r="J56" s="659"/>
      <c r="K56" s="610"/>
      <c r="L56" s="610"/>
      <c r="M56" s="625"/>
      <c r="N56" s="625"/>
      <c r="O56" s="639"/>
      <c r="P56" s="625"/>
      <c r="Q56" s="625"/>
      <c r="R56" s="625"/>
      <c r="S56" s="625"/>
      <c r="T56" s="625"/>
      <c r="U56" s="593"/>
      <c r="V56" s="593"/>
      <c r="W56" s="593"/>
      <c r="X56" s="593"/>
      <c r="Y56" s="593"/>
      <c r="Z56" s="593"/>
      <c r="AA56" s="593"/>
      <c r="AB56" s="593"/>
      <c r="AC56" s="593"/>
      <c r="AD56" s="593"/>
      <c r="AE56" s="593"/>
      <c r="AF56" s="543"/>
      <c r="AG56" s="837"/>
      <c r="AH56" s="837"/>
      <c r="AI56" s="837"/>
      <c r="AJ56" s="837"/>
      <c r="AK56" s="837"/>
      <c r="AL56" s="818"/>
      <c r="AM56" s="816"/>
      <c r="AN56" s="817"/>
      <c r="AO56" s="817"/>
      <c r="AP56" s="818"/>
      <c r="AQ56" s="838"/>
      <c r="AR56" s="817"/>
      <c r="AS56" s="817"/>
      <c r="AT56" s="817"/>
      <c r="AU56" s="817"/>
      <c r="AV56" s="817"/>
      <c r="AW56" s="817"/>
      <c r="AX56" s="817"/>
      <c r="AY56" s="817"/>
      <c r="AZ56" s="817"/>
      <c r="BA56" s="817"/>
      <c r="BB56" s="817"/>
      <c r="BC56" s="817"/>
      <c r="BD56" s="817"/>
      <c r="BE56" s="817"/>
      <c r="BF56" s="817"/>
      <c r="BG56" s="817"/>
      <c r="BH56" s="817"/>
      <c r="BI56" s="817"/>
      <c r="BJ56" s="817"/>
      <c r="BK56" s="817"/>
      <c r="BL56" s="817"/>
      <c r="BM56" s="817"/>
      <c r="BN56" s="817"/>
      <c r="BO56" s="817"/>
      <c r="BP56" s="817"/>
      <c r="BQ56" s="817"/>
      <c r="BR56" s="817"/>
      <c r="BS56" s="817"/>
      <c r="BT56" s="817"/>
      <c r="BU56" s="817"/>
      <c r="BV56" s="817"/>
      <c r="BW56" s="817"/>
      <c r="BX56" s="817"/>
      <c r="BY56" s="817"/>
      <c r="BZ56" s="817"/>
      <c r="CA56" s="817"/>
      <c r="CB56" s="817"/>
      <c r="CC56" s="817"/>
      <c r="CD56" s="817"/>
      <c r="CE56" s="817"/>
      <c r="CF56" s="817"/>
      <c r="CG56" s="817"/>
      <c r="CH56" s="817"/>
      <c r="CI56" s="817"/>
      <c r="CJ56" s="817"/>
      <c r="CK56" s="817"/>
      <c r="CL56" s="817"/>
      <c r="CM56" s="817"/>
      <c r="CN56" s="817"/>
      <c r="CO56" s="817"/>
      <c r="CP56" s="817"/>
      <c r="CQ56" s="817"/>
      <c r="CR56" s="817"/>
      <c r="CS56" s="817"/>
      <c r="CT56" s="817"/>
      <c r="CU56" s="817"/>
      <c r="CV56" s="817"/>
      <c r="CW56" s="817"/>
      <c r="CX56" s="817"/>
      <c r="CY56" s="817"/>
      <c r="CZ56" s="817"/>
      <c r="DA56" s="817"/>
      <c r="DB56" s="817"/>
      <c r="DC56" s="817"/>
      <c r="DD56" s="817"/>
      <c r="DE56" s="817"/>
      <c r="DF56" s="817"/>
      <c r="DG56" s="817"/>
      <c r="DH56" s="817"/>
      <c r="DI56" s="817"/>
      <c r="DJ56" s="817"/>
      <c r="DK56" s="817"/>
      <c r="DL56" s="817"/>
      <c r="DM56" s="817"/>
      <c r="DN56" s="817"/>
      <c r="DO56" s="817"/>
      <c r="DP56" s="817"/>
      <c r="DQ56" s="817"/>
      <c r="DR56" s="817"/>
      <c r="DS56" s="817"/>
      <c r="DT56" s="817"/>
      <c r="DU56" s="817"/>
      <c r="DV56" s="817"/>
      <c r="DW56" s="817"/>
      <c r="DX56" s="817"/>
      <c r="DY56" s="817"/>
      <c r="DZ56" s="817"/>
      <c r="EA56" s="817"/>
      <c r="EB56" s="817"/>
      <c r="EC56" s="817"/>
      <c r="ED56" s="817"/>
      <c r="EE56" s="817"/>
      <c r="EF56" s="817"/>
      <c r="EG56" s="817"/>
      <c r="EH56" s="817"/>
      <c r="EI56" s="817"/>
      <c r="EJ56" s="817"/>
    </row>
    <row r="57" spans="1:140" s="556" customFormat="1" ht="54" thickBot="1" thickTop="1">
      <c r="A57" s="545" t="s">
        <v>55</v>
      </c>
      <c r="B57" s="853"/>
      <c r="C57" s="853"/>
      <c r="D57" s="853"/>
      <c r="E57" s="545"/>
      <c r="F57" s="546"/>
      <c r="G57" s="547"/>
      <c r="H57" s="548"/>
      <c r="I57" s="549"/>
      <c r="J57" s="549"/>
      <c r="K57" s="550"/>
      <c r="L57" s="550"/>
      <c r="M57" s="553"/>
      <c r="N57" s="553"/>
      <c r="O57" s="552"/>
      <c r="P57" s="553"/>
      <c r="Q57" s="553"/>
      <c r="R57" s="553"/>
      <c r="S57" s="553"/>
      <c r="T57" s="553"/>
      <c r="U57" s="554"/>
      <c r="V57" s="554"/>
      <c r="W57" s="554"/>
      <c r="X57" s="554"/>
      <c r="Y57" s="554"/>
      <c r="Z57" s="554"/>
      <c r="AA57" s="554"/>
      <c r="AB57" s="554"/>
      <c r="AC57" s="554"/>
      <c r="AD57" s="554"/>
      <c r="AE57" s="554"/>
      <c r="AF57" s="555"/>
      <c r="AG57" s="578"/>
      <c r="AH57" s="578"/>
      <c r="AI57" s="578"/>
      <c r="AJ57" s="578"/>
      <c r="AK57" s="578"/>
      <c r="AL57" s="579"/>
      <c r="AM57" s="580"/>
      <c r="AN57" s="581"/>
      <c r="AO57" s="581"/>
      <c r="AP57" s="579"/>
      <c r="AQ57" s="582"/>
      <c r="AR57" s="581"/>
      <c r="AS57" s="581"/>
      <c r="AT57" s="581"/>
      <c r="AU57" s="581"/>
      <c r="AV57" s="581"/>
      <c r="AW57" s="581"/>
      <c r="AX57" s="581"/>
      <c r="AY57" s="581"/>
      <c r="AZ57" s="581"/>
      <c r="BA57" s="581"/>
      <c r="BB57" s="581"/>
      <c r="BC57" s="581"/>
      <c r="BD57" s="581"/>
      <c r="BE57" s="581"/>
      <c r="BF57" s="581"/>
      <c r="BG57" s="581"/>
      <c r="BH57" s="581"/>
      <c r="BI57" s="581"/>
      <c r="BJ57" s="581"/>
      <c r="BK57" s="581"/>
      <c r="BL57" s="581"/>
      <c r="BM57" s="581"/>
      <c r="BN57" s="581"/>
      <c r="BO57" s="581"/>
      <c r="BP57" s="581"/>
      <c r="BQ57" s="581"/>
      <c r="BR57" s="581"/>
      <c r="BS57" s="581"/>
      <c r="BT57" s="581"/>
      <c r="BU57" s="581"/>
      <c r="BV57" s="581"/>
      <c r="BW57" s="581"/>
      <c r="BX57" s="581"/>
      <c r="BY57" s="581"/>
      <c r="BZ57" s="581"/>
      <c r="CA57" s="581"/>
      <c r="CB57" s="581"/>
      <c r="CC57" s="581"/>
      <c r="CD57" s="581"/>
      <c r="CE57" s="581"/>
      <c r="CF57" s="581"/>
      <c r="CG57" s="581"/>
      <c r="CH57" s="581"/>
      <c r="CI57" s="581"/>
      <c r="CJ57" s="581"/>
      <c r="CK57" s="581"/>
      <c r="CL57" s="581"/>
      <c r="CM57" s="581"/>
      <c r="CN57" s="581"/>
      <c r="CO57" s="581"/>
      <c r="CP57" s="581"/>
      <c r="CQ57" s="581"/>
      <c r="CR57" s="581"/>
      <c r="CS57" s="581"/>
      <c r="CT57" s="581"/>
      <c r="CU57" s="581"/>
      <c r="CV57" s="581"/>
      <c r="CW57" s="581"/>
      <c r="CX57" s="581"/>
      <c r="CY57" s="581"/>
      <c r="CZ57" s="581"/>
      <c r="DA57" s="581"/>
      <c r="DB57" s="581"/>
      <c r="DC57" s="581"/>
      <c r="DD57" s="581"/>
      <c r="DE57" s="581"/>
      <c r="DF57" s="581"/>
      <c r="DG57" s="581"/>
      <c r="DH57" s="581"/>
      <c r="DI57" s="581"/>
      <c r="DJ57" s="581"/>
      <c r="DK57" s="581"/>
      <c r="DL57" s="581"/>
      <c r="DM57" s="581"/>
      <c r="DN57" s="581"/>
      <c r="DO57" s="581"/>
      <c r="DP57" s="581"/>
      <c r="DQ57" s="581"/>
      <c r="DR57" s="581"/>
      <c r="DS57" s="581"/>
      <c r="DT57" s="581"/>
      <c r="DU57" s="581"/>
      <c r="DV57" s="581"/>
      <c r="DW57" s="581"/>
      <c r="DX57" s="581"/>
      <c r="DY57" s="581"/>
      <c r="DZ57" s="581"/>
      <c r="EA57" s="581"/>
      <c r="EB57" s="581"/>
      <c r="EC57" s="581"/>
      <c r="ED57" s="581"/>
      <c r="EE57" s="581"/>
      <c r="EF57" s="581"/>
      <c r="EG57" s="581"/>
      <c r="EH57" s="581"/>
      <c r="EI57" s="581"/>
      <c r="EJ57" s="581"/>
    </row>
    <row r="58" spans="1:43" s="581" customFormat="1" ht="18.75" thickTop="1">
      <c r="A58" s="666" t="s">
        <v>56</v>
      </c>
      <c r="B58" s="732"/>
      <c r="C58" s="732"/>
      <c r="D58" s="732"/>
      <c r="E58" s="666"/>
      <c r="F58" s="569"/>
      <c r="G58" s="570"/>
      <c r="H58" s="571"/>
      <c r="I58" s="572"/>
      <c r="J58" s="572"/>
      <c r="K58" s="573"/>
      <c r="L58" s="573"/>
      <c r="M58" s="574"/>
      <c r="N58" s="574"/>
      <c r="O58" s="575"/>
      <c r="P58" s="574"/>
      <c r="Q58" s="574"/>
      <c r="R58" s="574"/>
      <c r="S58" s="574"/>
      <c r="T58" s="574"/>
      <c r="U58" s="576"/>
      <c r="V58" s="576"/>
      <c r="W58" s="576"/>
      <c r="X58" s="576"/>
      <c r="Y58" s="576"/>
      <c r="Z58" s="576"/>
      <c r="AA58" s="576"/>
      <c r="AB58" s="576"/>
      <c r="AC58" s="576"/>
      <c r="AD58" s="576"/>
      <c r="AE58" s="576"/>
      <c r="AF58" s="577"/>
      <c r="AG58" s="578"/>
      <c r="AH58" s="578"/>
      <c r="AI58" s="578"/>
      <c r="AJ58" s="578"/>
      <c r="AK58" s="578"/>
      <c r="AL58" s="579"/>
      <c r="AM58" s="580"/>
      <c r="AP58" s="579"/>
      <c r="AQ58" s="582"/>
    </row>
    <row r="59" spans="1:140" s="567" customFormat="1" ht="31.5">
      <c r="A59" s="557" t="s">
        <v>930</v>
      </c>
      <c r="B59" s="557"/>
      <c r="C59" s="557"/>
      <c r="D59" s="557"/>
      <c r="E59" s="557"/>
      <c r="F59" s="558"/>
      <c r="G59" s="559"/>
      <c r="H59" s="560"/>
      <c r="I59" s="561"/>
      <c r="J59" s="561"/>
      <c r="K59" s="562"/>
      <c r="L59" s="562"/>
      <c r="M59" s="563"/>
      <c r="N59" s="563"/>
      <c r="O59" s="564"/>
      <c r="P59" s="563"/>
      <c r="Q59" s="563"/>
      <c r="R59" s="563"/>
      <c r="S59" s="563"/>
      <c r="T59" s="563"/>
      <c r="U59" s="565"/>
      <c r="V59" s="565"/>
      <c r="W59" s="565"/>
      <c r="X59" s="565"/>
      <c r="Y59" s="565"/>
      <c r="Z59" s="565"/>
      <c r="AA59" s="565"/>
      <c r="AB59" s="565"/>
      <c r="AC59" s="565"/>
      <c r="AD59" s="565"/>
      <c r="AE59" s="565"/>
      <c r="AF59" s="566"/>
      <c r="AG59" s="578"/>
      <c r="AH59" s="578"/>
      <c r="AI59" s="578"/>
      <c r="AJ59" s="578"/>
      <c r="AK59" s="578"/>
      <c r="AL59" s="579"/>
      <c r="AM59" s="580"/>
      <c r="AN59" s="581"/>
      <c r="AO59" s="581"/>
      <c r="AP59" s="579"/>
      <c r="AQ59" s="582"/>
      <c r="AR59" s="581"/>
      <c r="AS59" s="581"/>
      <c r="AT59" s="581"/>
      <c r="AU59" s="581"/>
      <c r="AV59" s="581"/>
      <c r="AW59" s="581"/>
      <c r="AX59" s="581"/>
      <c r="AY59" s="581"/>
      <c r="AZ59" s="581"/>
      <c r="BA59" s="581"/>
      <c r="BB59" s="581"/>
      <c r="BC59" s="581"/>
      <c r="BD59" s="581"/>
      <c r="BE59" s="581"/>
      <c r="BF59" s="581"/>
      <c r="BG59" s="581"/>
      <c r="BH59" s="581"/>
      <c r="BI59" s="581"/>
      <c r="BJ59" s="581"/>
      <c r="BK59" s="581"/>
      <c r="BL59" s="581"/>
      <c r="BM59" s="581"/>
      <c r="BN59" s="581"/>
      <c r="BO59" s="581"/>
      <c r="BP59" s="581"/>
      <c r="BQ59" s="581"/>
      <c r="BR59" s="581"/>
      <c r="BS59" s="581"/>
      <c r="BT59" s="581"/>
      <c r="BU59" s="581"/>
      <c r="BV59" s="581"/>
      <c r="BW59" s="581"/>
      <c r="BX59" s="581"/>
      <c r="BY59" s="581"/>
      <c r="BZ59" s="581"/>
      <c r="CA59" s="581"/>
      <c r="CB59" s="581"/>
      <c r="CC59" s="581"/>
      <c r="CD59" s="581"/>
      <c r="CE59" s="581"/>
      <c r="CF59" s="581"/>
      <c r="CG59" s="581"/>
      <c r="CH59" s="581"/>
      <c r="CI59" s="581"/>
      <c r="CJ59" s="581"/>
      <c r="CK59" s="581"/>
      <c r="CL59" s="581"/>
      <c r="CM59" s="581"/>
      <c r="CN59" s="581"/>
      <c r="CO59" s="581"/>
      <c r="CP59" s="581"/>
      <c r="CQ59" s="581"/>
      <c r="CR59" s="581"/>
      <c r="CS59" s="581"/>
      <c r="CT59" s="581"/>
      <c r="CU59" s="581"/>
      <c r="CV59" s="581"/>
      <c r="CW59" s="581"/>
      <c r="CX59" s="581"/>
      <c r="CY59" s="581"/>
      <c r="CZ59" s="581"/>
      <c r="DA59" s="581"/>
      <c r="DB59" s="581"/>
      <c r="DC59" s="581"/>
      <c r="DD59" s="581"/>
      <c r="DE59" s="581"/>
      <c r="DF59" s="581"/>
      <c r="DG59" s="581"/>
      <c r="DH59" s="581"/>
      <c r="DI59" s="581"/>
      <c r="DJ59" s="581"/>
      <c r="DK59" s="581"/>
      <c r="DL59" s="581"/>
      <c r="DM59" s="581"/>
      <c r="DN59" s="581"/>
      <c r="DO59" s="581"/>
      <c r="DP59" s="581"/>
      <c r="DQ59" s="581"/>
      <c r="DR59" s="581"/>
      <c r="DS59" s="581"/>
      <c r="DT59" s="581"/>
      <c r="DU59" s="581"/>
      <c r="DV59" s="581"/>
      <c r="DW59" s="581"/>
      <c r="DX59" s="581"/>
      <c r="DY59" s="581"/>
      <c r="DZ59" s="581"/>
      <c r="EA59" s="581"/>
      <c r="EB59" s="581"/>
      <c r="EC59" s="581"/>
      <c r="ED59" s="581"/>
      <c r="EE59" s="581"/>
      <c r="EF59" s="581"/>
      <c r="EG59" s="581"/>
      <c r="EH59" s="581"/>
      <c r="EI59" s="581"/>
      <c r="EJ59" s="581"/>
    </row>
    <row r="60" spans="1:140" ht="180">
      <c r="A60" s="600" t="s">
        <v>57</v>
      </c>
      <c r="B60" s="600" t="s">
        <v>780</v>
      </c>
      <c r="C60" s="1215" t="s">
        <v>1270</v>
      </c>
      <c r="D60" s="600">
        <v>3</v>
      </c>
      <c r="E60" s="754" t="s">
        <v>781</v>
      </c>
      <c r="F60" s="583">
        <f>Hardware!E13</f>
        <v>962.90625</v>
      </c>
      <c r="G60" s="584">
        <v>799</v>
      </c>
      <c r="H60" s="605">
        <f>G60*77</f>
        <v>61523</v>
      </c>
      <c r="I60" s="586">
        <f>J60/G60</f>
        <v>160.484375</v>
      </c>
      <c r="J60" s="587">
        <f>M60/BudgetYears</f>
        <v>128227.015625</v>
      </c>
      <c r="K60" s="606">
        <v>6</v>
      </c>
      <c r="L60" s="607">
        <v>0</v>
      </c>
      <c r="M60" s="590">
        <f>(F60*G60)*(BudgetYears/K60)</f>
        <v>769362.09375</v>
      </c>
      <c r="N60" s="590">
        <f>(M60)-(L60*3)</f>
        <v>769362.09375</v>
      </c>
      <c r="O60" s="591" t="s">
        <v>18</v>
      </c>
      <c r="P60" s="590">
        <f>IF($O60="S/L or L",$M60,0)</f>
        <v>769362.09375</v>
      </c>
      <c r="Q60" s="590">
        <f>IF($O60="L",$M60,0)</f>
        <v>0</v>
      </c>
      <c r="R60" s="590">
        <f>IF($O60="S",$M60,0)</f>
        <v>0</v>
      </c>
      <c r="S60" s="590">
        <f>IF($O60="F",$M60,0)</f>
        <v>0</v>
      </c>
      <c r="T60" s="590">
        <f>SUM(P60:S60)</f>
        <v>769362.09375</v>
      </c>
      <c r="U60" s="592" t="s">
        <v>25</v>
      </c>
      <c r="V60" s="590">
        <f>IF($O60="S/L or L",$J60,0)</f>
        <v>128227.015625</v>
      </c>
      <c r="W60" s="590">
        <f>IF($O60="L",$J60,0)</f>
        <v>0</v>
      </c>
      <c r="X60" s="590">
        <f>IF($O60="S",$J60,0)</f>
        <v>0</v>
      </c>
      <c r="Y60" s="590">
        <f>IF($O60="F",$J60,0)</f>
        <v>0</v>
      </c>
      <c r="Z60" s="593">
        <f>SUM(V60:Y60)</f>
        <v>128227.015625</v>
      </c>
      <c r="AA60" s="590">
        <f>IF($O60="S/L or L",$L60,0)</f>
        <v>0</v>
      </c>
      <c r="AB60" s="590">
        <f>IF($O60="L",$L60,0)</f>
        <v>0</v>
      </c>
      <c r="AC60" s="590">
        <f>IF($O60="S",$L60,0)</f>
        <v>0</v>
      </c>
      <c r="AD60" s="590">
        <f>IF($O60="F",$L60,0)</f>
        <v>0</v>
      </c>
      <c r="AE60" s="593">
        <f>SUM(AA60:AD60)</f>
        <v>0</v>
      </c>
      <c r="AG60" s="578"/>
      <c r="AH60" s="578"/>
      <c r="AI60" s="578"/>
      <c r="AJ60" s="578"/>
      <c r="AK60" s="578"/>
      <c r="AL60" s="579"/>
      <c r="AM60" s="580"/>
      <c r="AN60" s="581"/>
      <c r="AO60" s="581"/>
      <c r="AP60" s="579"/>
      <c r="AQ60" s="582"/>
      <c r="AR60" s="581"/>
      <c r="AS60" s="581"/>
      <c r="AT60" s="581"/>
      <c r="AU60" s="581"/>
      <c r="AV60" s="581"/>
      <c r="AW60" s="581"/>
      <c r="AX60" s="581"/>
      <c r="AY60" s="581"/>
      <c r="AZ60" s="581"/>
      <c r="BA60" s="581"/>
      <c r="BB60" s="581"/>
      <c r="BC60" s="581"/>
      <c r="BD60" s="581"/>
      <c r="BE60" s="581"/>
      <c r="BF60" s="581"/>
      <c r="BG60" s="581"/>
      <c r="BH60" s="581"/>
      <c r="BI60" s="581"/>
      <c r="BJ60" s="581"/>
      <c r="BK60" s="581"/>
      <c r="BL60" s="581"/>
      <c r="BM60" s="581"/>
      <c r="BN60" s="581"/>
      <c r="BO60" s="581"/>
      <c r="BP60" s="581"/>
      <c r="BQ60" s="581"/>
      <c r="BR60" s="581"/>
      <c r="BS60" s="581"/>
      <c r="BT60" s="581"/>
      <c r="BU60" s="581"/>
      <c r="BV60" s="581"/>
      <c r="BW60" s="581"/>
      <c r="BX60" s="581"/>
      <c r="BY60" s="581"/>
      <c r="BZ60" s="581"/>
      <c r="CA60" s="581"/>
      <c r="CB60" s="581"/>
      <c r="CC60" s="581"/>
      <c r="CD60" s="581"/>
      <c r="CE60" s="581"/>
      <c r="CF60" s="581"/>
      <c r="CG60" s="581"/>
      <c r="CH60" s="581"/>
      <c r="CI60" s="581"/>
      <c r="CJ60" s="581"/>
      <c r="CK60" s="581"/>
      <c r="CL60" s="581"/>
      <c r="CM60" s="581"/>
      <c r="CN60" s="581"/>
      <c r="CO60" s="581"/>
      <c r="CP60" s="581"/>
      <c r="CQ60" s="581"/>
      <c r="CR60" s="581"/>
      <c r="CS60" s="581"/>
      <c r="CT60" s="581"/>
      <c r="CU60" s="581"/>
      <c r="CV60" s="581"/>
      <c r="CW60" s="581"/>
      <c r="CX60" s="581"/>
      <c r="CY60" s="581"/>
      <c r="CZ60" s="581"/>
      <c r="DA60" s="581"/>
      <c r="DB60" s="581"/>
      <c r="DC60" s="581"/>
      <c r="DD60" s="581"/>
      <c r="DE60" s="581"/>
      <c r="DF60" s="581"/>
      <c r="DG60" s="581"/>
      <c r="DH60" s="581"/>
      <c r="DI60" s="581"/>
      <c r="DJ60" s="581"/>
      <c r="DK60" s="581"/>
      <c r="DL60" s="581"/>
      <c r="DM60" s="581"/>
      <c r="DN60" s="581"/>
      <c r="DO60" s="581"/>
      <c r="DP60" s="581"/>
      <c r="DQ60" s="581"/>
      <c r="DR60" s="581"/>
      <c r="DS60" s="581"/>
      <c r="DT60" s="581"/>
      <c r="DU60" s="581"/>
      <c r="DV60" s="581"/>
      <c r="DW60" s="581"/>
      <c r="DX60" s="581"/>
      <c r="DY60" s="581"/>
      <c r="DZ60" s="581"/>
      <c r="EA60" s="581"/>
      <c r="EB60" s="581"/>
      <c r="EC60" s="581"/>
      <c r="ED60" s="581"/>
      <c r="EE60" s="581"/>
      <c r="EF60" s="581"/>
      <c r="EG60" s="581"/>
      <c r="EH60" s="581"/>
      <c r="EI60" s="581"/>
      <c r="EJ60" s="581"/>
    </row>
    <row r="61" spans="1:140" s="603" customFormat="1" ht="15.75">
      <c r="A61" s="600"/>
      <c r="B61" s="600"/>
      <c r="C61" s="600"/>
      <c r="D61" s="600"/>
      <c r="E61" s="600"/>
      <c r="F61" s="583"/>
      <c r="G61" s="584"/>
      <c r="H61" s="586"/>
      <c r="I61" s="586"/>
      <c r="J61" s="587"/>
      <c r="K61" s="606"/>
      <c r="L61" s="607"/>
      <c r="M61" s="590"/>
      <c r="N61" s="590"/>
      <c r="O61" s="591"/>
      <c r="P61" s="590"/>
      <c r="Q61" s="590"/>
      <c r="R61" s="590"/>
      <c r="S61" s="590"/>
      <c r="T61" s="590"/>
      <c r="U61" s="592"/>
      <c r="V61" s="590"/>
      <c r="W61" s="590"/>
      <c r="X61" s="590"/>
      <c r="Y61" s="590"/>
      <c r="Z61" s="593"/>
      <c r="AA61" s="590"/>
      <c r="AB61" s="590"/>
      <c r="AC61" s="590"/>
      <c r="AD61" s="590"/>
      <c r="AE61" s="593"/>
      <c r="AF61" s="599"/>
      <c r="AG61" s="758"/>
      <c r="AH61" s="758"/>
      <c r="AI61" s="759"/>
      <c r="AJ61" s="758"/>
      <c r="AK61" s="758"/>
      <c r="AL61" s="734"/>
      <c r="AM61" s="800"/>
      <c r="AN61" s="569"/>
      <c r="AO61" s="569"/>
      <c r="AP61" s="734"/>
      <c r="AQ61" s="575"/>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69"/>
      <c r="CD61" s="569"/>
      <c r="CE61" s="569"/>
      <c r="CF61" s="569"/>
      <c r="CG61" s="569"/>
      <c r="CH61" s="569"/>
      <c r="CI61" s="569"/>
      <c r="CJ61" s="569"/>
      <c r="CK61" s="569"/>
      <c r="CL61" s="569"/>
      <c r="CM61" s="569"/>
      <c r="CN61" s="569"/>
      <c r="CO61" s="569"/>
      <c r="CP61" s="569"/>
      <c r="CQ61" s="569"/>
      <c r="CR61" s="569"/>
      <c r="CS61" s="569"/>
      <c r="CT61" s="569"/>
      <c r="CU61" s="569"/>
      <c r="CV61" s="569"/>
      <c r="CW61" s="569"/>
      <c r="CX61" s="569"/>
      <c r="CY61" s="569"/>
      <c r="CZ61" s="569"/>
      <c r="DA61" s="569"/>
      <c r="DB61" s="569"/>
      <c r="DC61" s="569"/>
      <c r="DD61" s="569"/>
      <c r="DE61" s="569"/>
      <c r="DF61" s="569"/>
      <c r="DG61" s="569"/>
      <c r="DH61" s="569"/>
      <c r="DI61" s="569"/>
      <c r="DJ61" s="569"/>
      <c r="DK61" s="569"/>
      <c r="DL61" s="569"/>
      <c r="DM61" s="569"/>
      <c r="DN61" s="569"/>
      <c r="DO61" s="569"/>
      <c r="DP61" s="569"/>
      <c r="DQ61" s="569"/>
      <c r="DR61" s="569"/>
      <c r="DS61" s="569"/>
      <c r="DT61" s="569"/>
      <c r="DU61" s="569"/>
      <c r="DV61" s="569"/>
      <c r="DW61" s="569"/>
      <c r="DX61" s="569"/>
      <c r="DY61" s="569"/>
      <c r="DZ61" s="569"/>
      <c r="EA61" s="569"/>
      <c r="EB61" s="569"/>
      <c r="EC61" s="569"/>
      <c r="ED61" s="569"/>
      <c r="EE61" s="569"/>
      <c r="EF61" s="569"/>
      <c r="EG61" s="569"/>
      <c r="EH61" s="569"/>
      <c r="EI61" s="569"/>
      <c r="EJ61" s="569"/>
    </row>
    <row r="62" spans="1:140" ht="105">
      <c r="A62" s="600" t="s">
        <v>58</v>
      </c>
      <c r="B62" s="763" t="s">
        <v>746</v>
      </c>
      <c r="C62" s="842" t="s">
        <v>782</v>
      </c>
      <c r="D62" s="600">
        <v>1</v>
      </c>
      <c r="E62" s="754" t="s">
        <v>728</v>
      </c>
      <c r="F62" s="583">
        <f>Hardware!B38</f>
        <v>386.565</v>
      </c>
      <c r="G62" s="584">
        <f>'Reference Data'!$B$2</f>
        <v>174</v>
      </c>
      <c r="H62" s="605">
        <f>G62*134</f>
        <v>23316</v>
      </c>
      <c r="I62" s="586">
        <f>J62/G62</f>
        <v>64.4275</v>
      </c>
      <c r="J62" s="587">
        <f>M62/BudgetYears</f>
        <v>11210.385</v>
      </c>
      <c r="K62" s="606">
        <v>6</v>
      </c>
      <c r="L62" s="607">
        <v>0</v>
      </c>
      <c r="M62" s="590">
        <f>(F62*G62)*(BudgetYears/K62)</f>
        <v>67262.31</v>
      </c>
      <c r="N62" s="590">
        <f>(M62)-(L62*3)</f>
        <v>67262.31</v>
      </c>
      <c r="O62" s="591" t="s">
        <v>18</v>
      </c>
      <c r="P62" s="590">
        <f>IF($O62="S/L or L",$M62,0)</f>
        <v>67262.31</v>
      </c>
      <c r="Q62" s="590">
        <f>IF($O62="L",$M62,0)</f>
        <v>0</v>
      </c>
      <c r="R62" s="590">
        <f>IF($O62="S",$M62,0)</f>
        <v>0</v>
      </c>
      <c r="S62" s="590">
        <f>IF($O62="F",$M62,0)</f>
        <v>0</v>
      </c>
      <c r="T62" s="590">
        <f>SUM(P62:S62)</f>
        <v>67262.31</v>
      </c>
      <c r="U62" s="592" t="s">
        <v>25</v>
      </c>
      <c r="V62" s="590">
        <f>IF($O62="S/L or L",$J62,0)</f>
        <v>11210.385</v>
      </c>
      <c r="W62" s="590">
        <f>IF($O62="L",$J62,0)</f>
        <v>0</v>
      </c>
      <c r="X62" s="590">
        <f>IF($O62="S",$J62,0)</f>
        <v>0</v>
      </c>
      <c r="Y62" s="590">
        <f>IF($O62="F",$J62,0)</f>
        <v>0</v>
      </c>
      <c r="Z62" s="593">
        <f>SUM(V62:Y62)</f>
        <v>11210.385</v>
      </c>
      <c r="AA62" s="590">
        <f>IF($O62="S/L or L",$L62,0)</f>
        <v>0</v>
      </c>
      <c r="AB62" s="590">
        <f>IF($O62="L",$L62,0)</f>
        <v>0</v>
      </c>
      <c r="AC62" s="590">
        <f>IF($O62="S",$L62,0)</f>
        <v>0</v>
      </c>
      <c r="AD62" s="590">
        <f>IF($O62="F",$L62,0)</f>
        <v>0</v>
      </c>
      <c r="AE62" s="593">
        <f>SUM(AA62:AD62)</f>
        <v>0</v>
      </c>
      <c r="AG62" s="578"/>
      <c r="AH62" s="578"/>
      <c r="AI62" s="578"/>
      <c r="AJ62" s="578"/>
      <c r="AK62" s="578"/>
      <c r="AL62" s="579"/>
      <c r="AM62" s="580"/>
      <c r="AN62" s="581"/>
      <c r="AO62" s="581"/>
      <c r="AP62" s="579"/>
      <c r="AQ62" s="582"/>
      <c r="AR62" s="581"/>
      <c r="AS62" s="581"/>
      <c r="AT62" s="581"/>
      <c r="AU62" s="581"/>
      <c r="AV62" s="581"/>
      <c r="AW62" s="581"/>
      <c r="AX62" s="581"/>
      <c r="AY62" s="581"/>
      <c r="AZ62" s="581"/>
      <c r="BA62" s="581"/>
      <c r="BB62" s="581"/>
      <c r="BC62" s="581"/>
      <c r="BD62" s="581"/>
      <c r="BE62" s="581"/>
      <c r="BF62" s="581"/>
      <c r="BG62" s="581"/>
      <c r="BH62" s="581"/>
      <c r="BI62" s="581"/>
      <c r="BJ62" s="581"/>
      <c r="BK62" s="581"/>
      <c r="BL62" s="581"/>
      <c r="BM62" s="581"/>
      <c r="BN62" s="581"/>
      <c r="BO62" s="581"/>
      <c r="BP62" s="581"/>
      <c r="BQ62" s="581"/>
      <c r="BR62" s="581"/>
      <c r="BS62" s="581"/>
      <c r="BT62" s="581"/>
      <c r="BU62" s="581"/>
      <c r="BV62" s="581"/>
      <c r="BW62" s="581"/>
      <c r="BX62" s="581"/>
      <c r="BY62" s="581"/>
      <c r="BZ62" s="581"/>
      <c r="CA62" s="581"/>
      <c r="CB62" s="581"/>
      <c r="CC62" s="581"/>
      <c r="CD62" s="581"/>
      <c r="CE62" s="581"/>
      <c r="CF62" s="581"/>
      <c r="CG62" s="581"/>
      <c r="CH62" s="581"/>
      <c r="CI62" s="581"/>
      <c r="CJ62" s="581"/>
      <c r="CK62" s="581"/>
      <c r="CL62" s="581"/>
      <c r="CM62" s="581"/>
      <c r="CN62" s="581"/>
      <c r="CO62" s="581"/>
      <c r="CP62" s="581"/>
      <c r="CQ62" s="581"/>
      <c r="CR62" s="581"/>
      <c r="CS62" s="581"/>
      <c r="CT62" s="581"/>
      <c r="CU62" s="581"/>
      <c r="CV62" s="581"/>
      <c r="CW62" s="581"/>
      <c r="CX62" s="581"/>
      <c r="CY62" s="581"/>
      <c r="CZ62" s="581"/>
      <c r="DA62" s="581"/>
      <c r="DB62" s="581"/>
      <c r="DC62" s="581"/>
      <c r="DD62" s="581"/>
      <c r="DE62" s="581"/>
      <c r="DF62" s="581"/>
      <c r="DG62" s="581"/>
      <c r="DH62" s="581"/>
      <c r="DI62" s="581"/>
      <c r="DJ62" s="581"/>
      <c r="DK62" s="581"/>
      <c r="DL62" s="581"/>
      <c r="DM62" s="581"/>
      <c r="DN62" s="581"/>
      <c r="DO62" s="581"/>
      <c r="DP62" s="581"/>
      <c r="DQ62" s="581"/>
      <c r="DR62" s="581"/>
      <c r="DS62" s="581"/>
      <c r="DT62" s="581"/>
      <c r="DU62" s="581"/>
      <c r="DV62" s="581"/>
      <c r="DW62" s="581"/>
      <c r="DX62" s="581"/>
      <c r="DY62" s="581"/>
      <c r="DZ62" s="581"/>
      <c r="EA62" s="581"/>
      <c r="EB62" s="581"/>
      <c r="EC62" s="581"/>
      <c r="ED62" s="581"/>
      <c r="EE62" s="581"/>
      <c r="EF62" s="581"/>
      <c r="EG62" s="581"/>
      <c r="EH62" s="581"/>
      <c r="EI62" s="581"/>
      <c r="EJ62" s="581"/>
    </row>
    <row r="63" spans="1:140" s="603" customFormat="1" ht="15.75">
      <c r="A63" s="600"/>
      <c r="B63" s="600"/>
      <c r="C63" s="600"/>
      <c r="D63" s="600"/>
      <c r="E63" s="600"/>
      <c r="F63" s="583"/>
      <c r="G63" s="584"/>
      <c r="H63" s="586"/>
      <c r="I63" s="586"/>
      <c r="J63" s="587"/>
      <c r="K63" s="606"/>
      <c r="L63" s="607"/>
      <c r="M63" s="590"/>
      <c r="N63" s="590"/>
      <c r="O63" s="591"/>
      <c r="P63" s="590"/>
      <c r="Q63" s="590"/>
      <c r="R63" s="590"/>
      <c r="S63" s="590"/>
      <c r="T63" s="590"/>
      <c r="U63" s="592"/>
      <c r="V63" s="590"/>
      <c r="W63" s="590"/>
      <c r="X63" s="590"/>
      <c r="Y63" s="590"/>
      <c r="Z63" s="593"/>
      <c r="AA63" s="590"/>
      <c r="AB63" s="590"/>
      <c r="AC63" s="590"/>
      <c r="AD63" s="590"/>
      <c r="AE63" s="593"/>
      <c r="AF63" s="599"/>
      <c r="AG63" s="758"/>
      <c r="AH63" s="760"/>
      <c r="AI63" s="759"/>
      <c r="AJ63" s="758"/>
      <c r="AK63" s="758"/>
      <c r="AL63" s="734"/>
      <c r="AM63" s="800"/>
      <c r="AN63" s="569"/>
      <c r="AO63" s="569"/>
      <c r="AP63" s="734"/>
      <c r="AQ63" s="575"/>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c r="BW63" s="569"/>
      <c r="BX63" s="569"/>
      <c r="BY63" s="569"/>
      <c r="BZ63" s="569"/>
      <c r="CA63" s="569"/>
      <c r="CB63" s="569"/>
      <c r="CC63" s="569"/>
      <c r="CD63" s="569"/>
      <c r="CE63" s="569"/>
      <c r="CF63" s="569"/>
      <c r="CG63" s="569"/>
      <c r="CH63" s="569"/>
      <c r="CI63" s="569"/>
      <c r="CJ63" s="569"/>
      <c r="CK63" s="569"/>
      <c r="CL63" s="569"/>
      <c r="CM63" s="569"/>
      <c r="CN63" s="569"/>
      <c r="CO63" s="569"/>
      <c r="CP63" s="569"/>
      <c r="CQ63" s="569"/>
      <c r="CR63" s="569"/>
      <c r="CS63" s="569"/>
      <c r="CT63" s="569"/>
      <c r="CU63" s="569"/>
      <c r="CV63" s="569"/>
      <c r="CW63" s="569"/>
      <c r="CX63" s="569"/>
      <c r="CY63" s="569"/>
      <c r="CZ63" s="569"/>
      <c r="DA63" s="569"/>
      <c r="DB63" s="569"/>
      <c r="DC63" s="569"/>
      <c r="DD63" s="569"/>
      <c r="DE63" s="569"/>
      <c r="DF63" s="569"/>
      <c r="DG63" s="569"/>
      <c r="DH63" s="569"/>
      <c r="DI63" s="569"/>
      <c r="DJ63" s="569"/>
      <c r="DK63" s="569"/>
      <c r="DL63" s="569"/>
      <c r="DM63" s="569"/>
      <c r="DN63" s="569"/>
      <c r="DO63" s="569"/>
      <c r="DP63" s="569"/>
      <c r="DQ63" s="569"/>
      <c r="DR63" s="569"/>
      <c r="DS63" s="569"/>
      <c r="DT63" s="569"/>
      <c r="DU63" s="569"/>
      <c r="DV63" s="569"/>
      <c r="DW63" s="569"/>
      <c r="DX63" s="569"/>
      <c r="DY63" s="569"/>
      <c r="DZ63" s="569"/>
      <c r="EA63" s="569"/>
      <c r="EB63" s="569"/>
      <c r="EC63" s="569"/>
      <c r="ED63" s="569"/>
      <c r="EE63" s="569"/>
      <c r="EF63" s="569"/>
      <c r="EG63" s="569"/>
      <c r="EH63" s="569"/>
      <c r="EI63" s="569"/>
      <c r="EJ63" s="569"/>
    </row>
    <row r="64" spans="1:140" ht="105">
      <c r="A64" s="600" t="s">
        <v>871</v>
      </c>
      <c r="B64" s="763" t="s">
        <v>784</v>
      </c>
      <c r="C64" s="842" t="s">
        <v>955</v>
      </c>
      <c r="D64" s="600">
        <v>1</v>
      </c>
      <c r="E64" s="754" t="s">
        <v>729</v>
      </c>
      <c r="F64" s="645">
        <v>4327</v>
      </c>
      <c r="G64" s="584">
        <v>185</v>
      </c>
      <c r="H64" s="605">
        <f>(G64*750)</f>
        <v>138750</v>
      </c>
      <c r="I64" s="586">
        <f>J64/G64</f>
        <v>721.1666666666667</v>
      </c>
      <c r="J64" s="587">
        <f>M64/BudgetYears</f>
        <v>133415.83333333334</v>
      </c>
      <c r="K64" s="606">
        <v>6</v>
      </c>
      <c r="L64" s="607">
        <v>0</v>
      </c>
      <c r="M64" s="590">
        <f>(F64*G64)*(BudgetYears/K64)</f>
        <v>800495</v>
      </c>
      <c r="N64" s="590">
        <f>(M64)-(L64*3)</f>
        <v>800495</v>
      </c>
      <c r="O64" s="591" t="s">
        <v>18</v>
      </c>
      <c r="P64" s="590">
        <f>IF($O64="S/L or L",$M64,0)</f>
        <v>800495</v>
      </c>
      <c r="Q64" s="590">
        <f>IF($O64="L",$M64,0)</f>
        <v>0</v>
      </c>
      <c r="R64" s="590">
        <f>IF($O64="S",$M64,0)</f>
        <v>0</v>
      </c>
      <c r="S64" s="590">
        <f>IF($O64="F",$M64,0)</f>
        <v>0</v>
      </c>
      <c r="T64" s="590">
        <f>SUM(P64:S64)</f>
        <v>800495</v>
      </c>
      <c r="U64" s="592"/>
      <c r="V64" s="590">
        <f>IF($O64="S/L or L",$J64,0)</f>
        <v>133415.83333333334</v>
      </c>
      <c r="W64" s="590">
        <f>IF($O64="L",$J64,0)</f>
        <v>0</v>
      </c>
      <c r="X64" s="590">
        <f>IF($O64="S",$J64,0)</f>
        <v>0</v>
      </c>
      <c r="Y64" s="590">
        <f>IF($O64="F",$J64,0)</f>
        <v>0</v>
      </c>
      <c r="Z64" s="593">
        <f>SUM(V64:Y64)</f>
        <v>133415.83333333334</v>
      </c>
      <c r="AA64" s="590">
        <f>IF($O64="S/L or L",$L64,0)</f>
        <v>0</v>
      </c>
      <c r="AB64" s="590">
        <f>IF($O64="L",$L64,0)</f>
        <v>0</v>
      </c>
      <c r="AC64" s="590">
        <f>IF($O64="S",$L64,0)</f>
        <v>0</v>
      </c>
      <c r="AD64" s="590">
        <f>IF($O64="F",$L64,0)</f>
        <v>0</v>
      </c>
      <c r="AE64" s="593">
        <f>SUM(AA64:AD64)</f>
        <v>0</v>
      </c>
      <c r="AG64" s="578"/>
      <c r="AH64" s="578"/>
      <c r="AI64" s="578"/>
      <c r="AJ64" s="578"/>
      <c r="AK64" s="578"/>
      <c r="AL64" s="579"/>
      <c r="AM64" s="580"/>
      <c r="AN64" s="581"/>
      <c r="AO64" s="581"/>
      <c r="AP64" s="579"/>
      <c r="AQ64" s="582"/>
      <c r="AR64" s="581"/>
      <c r="AS64" s="581"/>
      <c r="AT64" s="581"/>
      <c r="AU64" s="581"/>
      <c r="AV64" s="581"/>
      <c r="AW64" s="581"/>
      <c r="AX64" s="581"/>
      <c r="AY64" s="581"/>
      <c r="AZ64" s="581"/>
      <c r="BA64" s="581"/>
      <c r="BB64" s="581"/>
      <c r="BC64" s="581"/>
      <c r="BD64" s="581"/>
      <c r="BE64" s="581"/>
      <c r="BF64" s="581"/>
      <c r="BG64" s="581"/>
      <c r="BH64" s="581"/>
      <c r="BI64" s="581"/>
      <c r="BJ64" s="581"/>
      <c r="BK64" s="581"/>
      <c r="BL64" s="581"/>
      <c r="BM64" s="581"/>
      <c r="BN64" s="581"/>
      <c r="BO64" s="581"/>
      <c r="BP64" s="581"/>
      <c r="BQ64" s="581"/>
      <c r="BR64" s="581"/>
      <c r="BS64" s="581"/>
      <c r="BT64" s="581"/>
      <c r="BU64" s="581"/>
      <c r="BV64" s="581"/>
      <c r="BW64" s="581"/>
      <c r="BX64" s="581"/>
      <c r="BY64" s="581"/>
      <c r="BZ64" s="581"/>
      <c r="CA64" s="581"/>
      <c r="CB64" s="581"/>
      <c r="CC64" s="581"/>
      <c r="CD64" s="581"/>
      <c r="CE64" s="581"/>
      <c r="CF64" s="581"/>
      <c r="CG64" s="581"/>
      <c r="CH64" s="581"/>
      <c r="CI64" s="581"/>
      <c r="CJ64" s="581"/>
      <c r="CK64" s="581"/>
      <c r="CL64" s="581"/>
      <c r="CM64" s="581"/>
      <c r="CN64" s="581"/>
      <c r="CO64" s="581"/>
      <c r="CP64" s="581"/>
      <c r="CQ64" s="581"/>
      <c r="CR64" s="581"/>
      <c r="CS64" s="581"/>
      <c r="CT64" s="581"/>
      <c r="CU64" s="581"/>
      <c r="CV64" s="581"/>
      <c r="CW64" s="581"/>
      <c r="CX64" s="581"/>
      <c r="CY64" s="581"/>
      <c r="CZ64" s="581"/>
      <c r="DA64" s="581"/>
      <c r="DB64" s="581"/>
      <c r="DC64" s="581"/>
      <c r="DD64" s="581"/>
      <c r="DE64" s="581"/>
      <c r="DF64" s="581"/>
      <c r="DG64" s="581"/>
      <c r="DH64" s="581"/>
      <c r="DI64" s="581"/>
      <c r="DJ64" s="581"/>
      <c r="DK64" s="581"/>
      <c r="DL64" s="581"/>
      <c r="DM64" s="581"/>
      <c r="DN64" s="581"/>
      <c r="DO64" s="581"/>
      <c r="DP64" s="581"/>
      <c r="DQ64" s="581"/>
      <c r="DR64" s="581"/>
      <c r="DS64" s="581"/>
      <c r="DT64" s="581"/>
      <c r="DU64" s="581"/>
      <c r="DV64" s="581"/>
      <c r="DW64" s="581"/>
      <c r="DX64" s="581"/>
      <c r="DY64" s="581"/>
      <c r="DZ64" s="581"/>
      <c r="EA64" s="581"/>
      <c r="EB64" s="581"/>
      <c r="EC64" s="581"/>
      <c r="ED64" s="581"/>
      <c r="EE64" s="581"/>
      <c r="EF64" s="581"/>
      <c r="EG64" s="581"/>
      <c r="EH64" s="581"/>
      <c r="EI64" s="581"/>
      <c r="EJ64" s="581"/>
    </row>
    <row r="65" spans="1:140" ht="60">
      <c r="A65" s="763" t="s">
        <v>61</v>
      </c>
      <c r="B65" s="763" t="s">
        <v>785</v>
      </c>
      <c r="C65" s="842" t="s">
        <v>955</v>
      </c>
      <c r="D65" s="600">
        <v>1</v>
      </c>
      <c r="E65" s="759" t="s">
        <v>352</v>
      </c>
      <c r="F65" s="645">
        <f>Hardware!B47</f>
        <v>2402.3133333333335</v>
      </c>
      <c r="G65" s="584">
        <f>'Reference Data'!$B$2</f>
        <v>174</v>
      </c>
      <c r="H65" s="605">
        <f>G65*203</f>
        <v>35322</v>
      </c>
      <c r="I65" s="586">
        <f>J65/G65</f>
        <v>400.3855555555556</v>
      </c>
      <c r="J65" s="587">
        <f>M65/BudgetYears</f>
        <v>69667.08666666667</v>
      </c>
      <c r="K65" s="606">
        <v>6</v>
      </c>
      <c r="L65" s="607">
        <f>(USFInternal)*J65</f>
        <v>48766.960666666666</v>
      </c>
      <c r="M65" s="590">
        <f>(F65*G65)*(BudgetYears/K65)</f>
        <v>418002.52</v>
      </c>
      <c r="N65" s="590">
        <f>(M65)-(L65*3)</f>
        <v>271701.63800000004</v>
      </c>
      <c r="O65" s="591" t="s">
        <v>18</v>
      </c>
      <c r="P65" s="590">
        <f>IF($O65="S/L or L",$M65,0)</f>
        <v>418002.52</v>
      </c>
      <c r="Q65" s="590">
        <f>IF($O65="L",$M65,0)</f>
        <v>0</v>
      </c>
      <c r="R65" s="590">
        <f>IF($O65="S",$M65,0)</f>
        <v>0</v>
      </c>
      <c r="S65" s="590">
        <f>IF($O65="F",$M65,0)</f>
        <v>0</v>
      </c>
      <c r="T65" s="590">
        <f>SUM(P65:S65)</f>
        <v>418002.52</v>
      </c>
      <c r="U65" s="592" t="s">
        <v>25</v>
      </c>
      <c r="V65" s="590">
        <f>IF($O65="S/L or L",$J65,0)</f>
        <v>69667.08666666667</v>
      </c>
      <c r="W65" s="590">
        <f>IF($O65="L",$J65,0)</f>
        <v>0</v>
      </c>
      <c r="X65" s="590">
        <f>IF($O65="S",$J65,0)</f>
        <v>0</v>
      </c>
      <c r="Y65" s="590">
        <f>IF($O65="F",$J65,0)</f>
        <v>0</v>
      </c>
      <c r="Z65" s="593">
        <f>SUM(V65:Y65)</f>
        <v>69667.08666666667</v>
      </c>
      <c r="AA65" s="590">
        <f>IF($O65="S/L or L",$L65,0)</f>
        <v>48766.960666666666</v>
      </c>
      <c r="AB65" s="590">
        <f>IF($O65="L",$L65,0)</f>
        <v>0</v>
      </c>
      <c r="AC65" s="590">
        <f>IF($O65="S",$L65,0)</f>
        <v>0</v>
      </c>
      <c r="AD65" s="590">
        <f>IF($O65="F",$L65,0)</f>
        <v>0</v>
      </c>
      <c r="AE65" s="593">
        <f>SUM(AA65:AD65)</f>
        <v>48766.960666666666</v>
      </c>
      <c r="AG65" s="763"/>
      <c r="AH65" s="760"/>
      <c r="AI65" s="759"/>
      <c r="AJ65" s="763"/>
      <c r="AK65" s="763"/>
      <c r="AL65" s="734"/>
      <c r="AM65" s="800"/>
      <c r="AN65" s="569"/>
      <c r="AO65" s="569"/>
      <c r="AP65" s="734"/>
      <c r="AQ65" s="575"/>
      <c r="AR65" s="581"/>
      <c r="AS65" s="581"/>
      <c r="AT65" s="581"/>
      <c r="AU65" s="581"/>
      <c r="AV65" s="581"/>
      <c r="AW65" s="581"/>
      <c r="AX65" s="581"/>
      <c r="AY65" s="581"/>
      <c r="AZ65" s="581"/>
      <c r="BA65" s="581"/>
      <c r="BB65" s="581"/>
      <c r="BC65" s="581"/>
      <c r="BD65" s="581"/>
      <c r="BE65" s="581"/>
      <c r="BF65" s="581"/>
      <c r="BG65" s="581"/>
      <c r="BH65" s="581"/>
      <c r="BI65" s="581"/>
      <c r="BJ65" s="581"/>
      <c r="BK65" s="581"/>
      <c r="BL65" s="581"/>
      <c r="BM65" s="581"/>
      <c r="BN65" s="581"/>
      <c r="BO65" s="581"/>
      <c r="BP65" s="581"/>
      <c r="BQ65" s="581"/>
      <c r="BR65" s="581"/>
      <c r="BS65" s="581"/>
      <c r="BT65" s="581"/>
      <c r="BU65" s="581"/>
      <c r="BV65" s="581"/>
      <c r="BW65" s="581"/>
      <c r="BX65" s="581"/>
      <c r="BY65" s="581"/>
      <c r="BZ65" s="581"/>
      <c r="CA65" s="581"/>
      <c r="CB65" s="581"/>
      <c r="CC65" s="581"/>
      <c r="CD65" s="581"/>
      <c r="CE65" s="581"/>
      <c r="CF65" s="581"/>
      <c r="CG65" s="581"/>
      <c r="CH65" s="581"/>
      <c r="CI65" s="581"/>
      <c r="CJ65" s="581"/>
      <c r="CK65" s="581"/>
      <c r="CL65" s="581"/>
      <c r="CM65" s="581"/>
      <c r="CN65" s="581"/>
      <c r="CO65" s="581"/>
      <c r="CP65" s="581"/>
      <c r="CQ65" s="581"/>
      <c r="CR65" s="581"/>
      <c r="CS65" s="581"/>
      <c r="CT65" s="581"/>
      <c r="CU65" s="581"/>
      <c r="CV65" s="581"/>
      <c r="CW65" s="581"/>
      <c r="CX65" s="581"/>
      <c r="CY65" s="581"/>
      <c r="CZ65" s="581"/>
      <c r="DA65" s="581"/>
      <c r="DB65" s="581"/>
      <c r="DC65" s="581"/>
      <c r="DD65" s="581"/>
      <c r="DE65" s="581"/>
      <c r="DF65" s="581"/>
      <c r="DG65" s="581"/>
      <c r="DH65" s="581"/>
      <c r="DI65" s="581"/>
      <c r="DJ65" s="581"/>
      <c r="DK65" s="581"/>
      <c r="DL65" s="581"/>
      <c r="DM65" s="581"/>
      <c r="DN65" s="581"/>
      <c r="DO65" s="581"/>
      <c r="DP65" s="581"/>
      <c r="DQ65" s="581"/>
      <c r="DR65" s="581"/>
      <c r="DS65" s="581"/>
      <c r="DT65" s="581"/>
      <c r="DU65" s="581"/>
      <c r="DV65" s="581"/>
      <c r="DW65" s="581"/>
      <c r="DX65" s="581"/>
      <c r="DY65" s="581"/>
      <c r="DZ65" s="581"/>
      <c r="EA65" s="581"/>
      <c r="EB65" s="581"/>
      <c r="EC65" s="581"/>
      <c r="ED65" s="581"/>
      <c r="EE65" s="581"/>
      <c r="EF65" s="581"/>
      <c r="EG65" s="581"/>
      <c r="EH65" s="581"/>
      <c r="EI65" s="581"/>
      <c r="EJ65" s="581"/>
    </row>
    <row r="66" spans="1:140" s="603" customFormat="1" ht="15.75">
      <c r="A66" s="600"/>
      <c r="B66" s="600"/>
      <c r="C66" s="600"/>
      <c r="D66" s="600"/>
      <c r="E66" s="600"/>
      <c r="F66" s="645"/>
      <c r="G66" s="584"/>
      <c r="H66" s="586"/>
      <c r="I66" s="586"/>
      <c r="J66" s="587"/>
      <c r="K66" s="606"/>
      <c r="L66" s="607"/>
      <c r="M66" s="590"/>
      <c r="N66" s="590"/>
      <c r="O66" s="591"/>
      <c r="P66" s="590"/>
      <c r="Q66" s="590"/>
      <c r="R66" s="590"/>
      <c r="S66" s="590"/>
      <c r="T66" s="590"/>
      <c r="U66" s="592"/>
      <c r="V66" s="590"/>
      <c r="W66" s="590"/>
      <c r="X66" s="590"/>
      <c r="Y66" s="590"/>
      <c r="Z66" s="593"/>
      <c r="AA66" s="590"/>
      <c r="AB66" s="590"/>
      <c r="AC66" s="590"/>
      <c r="AD66" s="590"/>
      <c r="AE66" s="593"/>
      <c r="AF66" s="599"/>
      <c r="AG66" s="758"/>
      <c r="AH66" s="756"/>
      <c r="AI66" s="757"/>
      <c r="AJ66" s="758"/>
      <c r="AK66" s="758"/>
      <c r="AL66" s="734"/>
      <c r="AM66" s="800"/>
      <c r="AN66" s="569"/>
      <c r="AO66" s="569"/>
      <c r="AP66" s="734"/>
      <c r="AQ66" s="575"/>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69"/>
      <c r="CL66" s="569"/>
      <c r="CM66" s="569"/>
      <c r="CN66" s="569"/>
      <c r="CO66" s="569"/>
      <c r="CP66" s="569"/>
      <c r="CQ66" s="569"/>
      <c r="CR66" s="569"/>
      <c r="CS66" s="569"/>
      <c r="CT66" s="569"/>
      <c r="CU66" s="569"/>
      <c r="CV66" s="569"/>
      <c r="CW66" s="569"/>
      <c r="CX66" s="569"/>
      <c r="CY66" s="569"/>
      <c r="CZ66" s="569"/>
      <c r="DA66" s="569"/>
      <c r="DB66" s="569"/>
      <c r="DC66" s="569"/>
      <c r="DD66" s="569"/>
      <c r="DE66" s="569"/>
      <c r="DF66" s="569"/>
      <c r="DG66" s="569"/>
      <c r="DH66" s="569"/>
      <c r="DI66" s="569"/>
      <c r="DJ66" s="569"/>
      <c r="DK66" s="569"/>
      <c r="DL66" s="569"/>
      <c r="DM66" s="569"/>
      <c r="DN66" s="569"/>
      <c r="DO66" s="569"/>
      <c r="DP66" s="569"/>
      <c r="DQ66" s="569"/>
      <c r="DR66" s="569"/>
      <c r="DS66" s="569"/>
      <c r="DT66" s="569"/>
      <c r="DU66" s="569"/>
      <c r="DV66" s="569"/>
      <c r="DW66" s="569"/>
      <c r="DX66" s="569"/>
      <c r="DY66" s="569"/>
      <c r="DZ66" s="569"/>
      <c r="EA66" s="569"/>
      <c r="EB66" s="569"/>
      <c r="EC66" s="569"/>
      <c r="ED66" s="569"/>
      <c r="EE66" s="569"/>
      <c r="EF66" s="569"/>
      <c r="EG66" s="569"/>
      <c r="EH66" s="569"/>
      <c r="EI66" s="569"/>
      <c r="EJ66" s="569"/>
    </row>
    <row r="67" spans="1:140" s="603" customFormat="1" ht="15.75">
      <c r="A67" s="600"/>
      <c r="B67" s="600"/>
      <c r="C67" s="600"/>
      <c r="D67" s="600"/>
      <c r="E67" s="600"/>
      <c r="F67" s="645"/>
      <c r="G67" s="584"/>
      <c r="H67" s="586"/>
      <c r="I67" s="586"/>
      <c r="J67" s="587"/>
      <c r="K67" s="606"/>
      <c r="L67" s="607"/>
      <c r="M67" s="590"/>
      <c r="N67" s="590"/>
      <c r="O67" s="591"/>
      <c r="P67" s="590"/>
      <c r="Q67" s="590"/>
      <c r="R67" s="590"/>
      <c r="S67" s="590"/>
      <c r="T67" s="590"/>
      <c r="U67" s="592"/>
      <c r="V67" s="590"/>
      <c r="W67" s="590"/>
      <c r="X67" s="590"/>
      <c r="Y67" s="590"/>
      <c r="Z67" s="593"/>
      <c r="AA67" s="590"/>
      <c r="AB67" s="590"/>
      <c r="AC67" s="590"/>
      <c r="AD67" s="590"/>
      <c r="AE67" s="593"/>
      <c r="AF67" s="599"/>
      <c r="AG67" s="758"/>
      <c r="AH67" s="760"/>
      <c r="AI67" s="759"/>
      <c r="AJ67" s="764"/>
      <c r="AK67" s="754"/>
      <c r="AL67" s="734"/>
      <c r="AM67" s="800"/>
      <c r="AN67" s="569"/>
      <c r="AO67" s="569"/>
      <c r="AP67" s="734"/>
      <c r="AQ67" s="575"/>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c r="BZ67" s="569"/>
      <c r="CA67" s="569"/>
      <c r="CB67" s="569"/>
      <c r="CC67" s="569"/>
      <c r="CD67" s="569"/>
      <c r="CE67" s="569"/>
      <c r="CF67" s="569"/>
      <c r="CG67" s="569"/>
      <c r="CH67" s="569"/>
      <c r="CI67" s="569"/>
      <c r="CJ67" s="569"/>
      <c r="CK67" s="569"/>
      <c r="CL67" s="569"/>
      <c r="CM67" s="569"/>
      <c r="CN67" s="569"/>
      <c r="CO67" s="569"/>
      <c r="CP67" s="569"/>
      <c r="CQ67" s="569"/>
      <c r="CR67" s="569"/>
      <c r="CS67" s="569"/>
      <c r="CT67" s="569"/>
      <c r="CU67" s="569"/>
      <c r="CV67" s="569"/>
      <c r="CW67" s="569"/>
      <c r="CX67" s="569"/>
      <c r="CY67" s="569"/>
      <c r="CZ67" s="569"/>
      <c r="DA67" s="569"/>
      <c r="DB67" s="569"/>
      <c r="DC67" s="569"/>
      <c r="DD67" s="569"/>
      <c r="DE67" s="569"/>
      <c r="DF67" s="569"/>
      <c r="DG67" s="569"/>
      <c r="DH67" s="569"/>
      <c r="DI67" s="569"/>
      <c r="DJ67" s="569"/>
      <c r="DK67" s="569"/>
      <c r="DL67" s="569"/>
      <c r="DM67" s="569"/>
      <c r="DN67" s="569"/>
      <c r="DO67" s="569"/>
      <c r="DP67" s="569"/>
      <c r="DQ67" s="569"/>
      <c r="DR67" s="569"/>
      <c r="DS67" s="569"/>
      <c r="DT67" s="569"/>
      <c r="DU67" s="569"/>
      <c r="DV67" s="569"/>
      <c r="DW67" s="569"/>
      <c r="DX67" s="569"/>
      <c r="DY67" s="569"/>
      <c r="DZ67" s="569"/>
      <c r="EA67" s="569"/>
      <c r="EB67" s="569"/>
      <c r="EC67" s="569"/>
      <c r="ED67" s="569"/>
      <c r="EE67" s="569"/>
      <c r="EF67" s="569"/>
      <c r="EG67" s="569"/>
      <c r="EH67" s="569"/>
      <c r="EI67" s="569"/>
      <c r="EJ67" s="569"/>
    </row>
    <row r="68" spans="1:140" s="603" customFormat="1" ht="15.75">
      <c r="A68" s="600"/>
      <c r="B68" s="600"/>
      <c r="C68" s="600"/>
      <c r="D68" s="600"/>
      <c r="E68" s="600"/>
      <c r="F68" s="645"/>
      <c r="G68" s="584"/>
      <c r="H68" s="586"/>
      <c r="I68" s="586"/>
      <c r="J68" s="587"/>
      <c r="K68" s="606"/>
      <c r="L68" s="607"/>
      <c r="M68" s="590"/>
      <c r="N68" s="590"/>
      <c r="O68" s="591"/>
      <c r="P68" s="590"/>
      <c r="Q68" s="590"/>
      <c r="R68" s="590"/>
      <c r="S68" s="590"/>
      <c r="T68" s="590"/>
      <c r="U68" s="592"/>
      <c r="V68" s="590"/>
      <c r="W68" s="590"/>
      <c r="X68" s="590"/>
      <c r="Y68" s="590"/>
      <c r="Z68" s="593"/>
      <c r="AA68" s="590"/>
      <c r="AB68" s="590"/>
      <c r="AC68" s="590"/>
      <c r="AD68" s="590"/>
      <c r="AE68" s="593"/>
      <c r="AF68" s="599"/>
      <c r="AG68" s="758"/>
      <c r="AH68" s="760"/>
      <c r="AI68" s="759"/>
      <c r="AJ68" s="758"/>
      <c r="AK68" s="758"/>
      <c r="AL68" s="734"/>
      <c r="AM68" s="800"/>
      <c r="AN68" s="569"/>
      <c r="AO68" s="569"/>
      <c r="AP68" s="734"/>
      <c r="AQ68" s="575"/>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c r="BZ68" s="569"/>
      <c r="CA68" s="569"/>
      <c r="CB68" s="569"/>
      <c r="CC68" s="569"/>
      <c r="CD68" s="569"/>
      <c r="CE68" s="569"/>
      <c r="CF68" s="569"/>
      <c r="CG68" s="569"/>
      <c r="CH68" s="569"/>
      <c r="CI68" s="569"/>
      <c r="CJ68" s="569"/>
      <c r="CK68" s="569"/>
      <c r="CL68" s="569"/>
      <c r="CM68" s="569"/>
      <c r="CN68" s="569"/>
      <c r="CO68" s="569"/>
      <c r="CP68" s="569"/>
      <c r="CQ68" s="569"/>
      <c r="CR68" s="569"/>
      <c r="CS68" s="569"/>
      <c r="CT68" s="569"/>
      <c r="CU68" s="569"/>
      <c r="CV68" s="569"/>
      <c r="CW68" s="569"/>
      <c r="CX68" s="569"/>
      <c r="CY68" s="569"/>
      <c r="CZ68" s="569"/>
      <c r="DA68" s="569"/>
      <c r="DB68" s="569"/>
      <c r="DC68" s="569"/>
      <c r="DD68" s="569"/>
      <c r="DE68" s="569"/>
      <c r="DF68" s="569"/>
      <c r="DG68" s="569"/>
      <c r="DH68" s="569"/>
      <c r="DI68" s="569"/>
      <c r="DJ68" s="569"/>
      <c r="DK68" s="569"/>
      <c r="DL68" s="569"/>
      <c r="DM68" s="569"/>
      <c r="DN68" s="569"/>
      <c r="DO68" s="569"/>
      <c r="DP68" s="569"/>
      <c r="DQ68" s="569"/>
      <c r="DR68" s="569"/>
      <c r="DS68" s="569"/>
      <c r="DT68" s="569"/>
      <c r="DU68" s="569"/>
      <c r="DV68" s="569"/>
      <c r="DW68" s="569"/>
      <c r="DX68" s="569"/>
      <c r="DY68" s="569"/>
      <c r="DZ68" s="569"/>
      <c r="EA68" s="569"/>
      <c r="EB68" s="569"/>
      <c r="EC68" s="569"/>
      <c r="ED68" s="569"/>
      <c r="EE68" s="569"/>
      <c r="EF68" s="569"/>
      <c r="EG68" s="569"/>
      <c r="EH68" s="569"/>
      <c r="EI68" s="569"/>
      <c r="EJ68" s="569"/>
    </row>
    <row r="69" spans="1:140" s="603" customFormat="1" ht="15.75">
      <c r="A69" s="600"/>
      <c r="B69" s="600"/>
      <c r="C69" s="600"/>
      <c r="D69" s="600"/>
      <c r="E69" s="600"/>
      <c r="F69" s="645"/>
      <c r="G69" s="584"/>
      <c r="H69" s="586"/>
      <c r="I69" s="586"/>
      <c r="J69" s="587"/>
      <c r="K69" s="606"/>
      <c r="L69" s="607"/>
      <c r="M69" s="590"/>
      <c r="N69" s="590"/>
      <c r="O69" s="591"/>
      <c r="P69" s="590"/>
      <c r="Q69" s="590"/>
      <c r="R69" s="590"/>
      <c r="S69" s="590"/>
      <c r="T69" s="590"/>
      <c r="U69" s="592"/>
      <c r="V69" s="590"/>
      <c r="W69" s="590"/>
      <c r="X69" s="590"/>
      <c r="Y69" s="590"/>
      <c r="Z69" s="593"/>
      <c r="AA69" s="590"/>
      <c r="AB69" s="590"/>
      <c r="AC69" s="590"/>
      <c r="AD69" s="590"/>
      <c r="AE69" s="593"/>
      <c r="AF69" s="599"/>
      <c r="AG69" s="578"/>
      <c r="AH69" s="578"/>
      <c r="AI69" s="578"/>
      <c r="AJ69" s="578"/>
      <c r="AK69" s="578"/>
      <c r="AL69" s="734"/>
      <c r="AM69" s="800"/>
      <c r="AN69" s="569"/>
      <c r="AO69" s="569"/>
      <c r="AP69" s="734"/>
      <c r="AQ69" s="575"/>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69"/>
      <c r="CL69" s="569"/>
      <c r="CM69" s="569"/>
      <c r="CN69" s="569"/>
      <c r="CO69" s="569"/>
      <c r="CP69" s="569"/>
      <c r="CQ69" s="569"/>
      <c r="CR69" s="569"/>
      <c r="CS69" s="569"/>
      <c r="CT69" s="569"/>
      <c r="CU69" s="569"/>
      <c r="CV69" s="569"/>
      <c r="CW69" s="569"/>
      <c r="CX69" s="569"/>
      <c r="CY69" s="569"/>
      <c r="CZ69" s="569"/>
      <c r="DA69" s="569"/>
      <c r="DB69" s="569"/>
      <c r="DC69" s="569"/>
      <c r="DD69" s="569"/>
      <c r="DE69" s="569"/>
      <c r="DF69" s="569"/>
      <c r="DG69" s="569"/>
      <c r="DH69" s="569"/>
      <c r="DI69" s="569"/>
      <c r="DJ69" s="569"/>
      <c r="DK69" s="569"/>
      <c r="DL69" s="569"/>
      <c r="DM69" s="569"/>
      <c r="DN69" s="569"/>
      <c r="DO69" s="569"/>
      <c r="DP69" s="569"/>
      <c r="DQ69" s="569"/>
      <c r="DR69" s="569"/>
      <c r="DS69" s="569"/>
      <c r="DT69" s="569"/>
      <c r="DU69" s="569"/>
      <c r="DV69" s="569"/>
      <c r="DW69" s="569"/>
      <c r="DX69" s="569"/>
      <c r="DY69" s="569"/>
      <c r="DZ69" s="569"/>
      <c r="EA69" s="569"/>
      <c r="EB69" s="569"/>
      <c r="EC69" s="569"/>
      <c r="ED69" s="569"/>
      <c r="EE69" s="569"/>
      <c r="EF69" s="569"/>
      <c r="EG69" s="569"/>
      <c r="EH69" s="569"/>
      <c r="EI69" s="569"/>
      <c r="EJ69" s="569"/>
    </row>
    <row r="70" spans="1:140" s="603" customFormat="1" ht="15.75">
      <c r="A70" s="600"/>
      <c r="B70" s="600"/>
      <c r="C70" s="600"/>
      <c r="D70" s="600"/>
      <c r="E70" s="600"/>
      <c r="F70" s="645"/>
      <c r="G70" s="584"/>
      <c r="H70" s="586"/>
      <c r="I70" s="586"/>
      <c r="J70" s="587"/>
      <c r="K70" s="606"/>
      <c r="L70" s="607"/>
      <c r="M70" s="590"/>
      <c r="N70" s="590"/>
      <c r="O70" s="591"/>
      <c r="P70" s="590"/>
      <c r="Q70" s="590"/>
      <c r="R70" s="590"/>
      <c r="S70" s="590"/>
      <c r="T70" s="590"/>
      <c r="U70" s="592"/>
      <c r="V70" s="590"/>
      <c r="W70" s="590"/>
      <c r="X70" s="590"/>
      <c r="Y70" s="590"/>
      <c r="Z70" s="593"/>
      <c r="AA70" s="590"/>
      <c r="AB70" s="590"/>
      <c r="AC70" s="590"/>
      <c r="AD70" s="590"/>
      <c r="AE70" s="593"/>
      <c r="AF70" s="599"/>
      <c r="AG70" s="758"/>
      <c r="AH70" s="760"/>
      <c r="AI70" s="759"/>
      <c r="AJ70" s="758"/>
      <c r="AK70" s="758"/>
      <c r="AL70" s="734"/>
      <c r="AM70" s="800"/>
      <c r="AN70" s="569"/>
      <c r="AO70" s="569"/>
      <c r="AP70" s="734"/>
      <c r="AQ70" s="575"/>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c r="BZ70" s="569"/>
      <c r="CA70" s="569"/>
      <c r="CB70" s="569"/>
      <c r="CC70" s="569"/>
      <c r="CD70" s="569"/>
      <c r="CE70" s="569"/>
      <c r="CF70" s="569"/>
      <c r="CG70" s="569"/>
      <c r="CH70" s="569"/>
      <c r="CI70" s="569"/>
      <c r="CJ70" s="569"/>
      <c r="CK70" s="569"/>
      <c r="CL70" s="569"/>
      <c r="CM70" s="569"/>
      <c r="CN70" s="569"/>
      <c r="CO70" s="569"/>
      <c r="CP70" s="569"/>
      <c r="CQ70" s="569"/>
      <c r="CR70" s="569"/>
      <c r="CS70" s="569"/>
      <c r="CT70" s="569"/>
      <c r="CU70" s="569"/>
      <c r="CV70" s="569"/>
      <c r="CW70" s="569"/>
      <c r="CX70" s="569"/>
      <c r="CY70" s="569"/>
      <c r="CZ70" s="569"/>
      <c r="DA70" s="569"/>
      <c r="DB70" s="569"/>
      <c r="DC70" s="569"/>
      <c r="DD70" s="569"/>
      <c r="DE70" s="569"/>
      <c r="DF70" s="569"/>
      <c r="DG70" s="569"/>
      <c r="DH70" s="569"/>
      <c r="DI70" s="569"/>
      <c r="DJ70" s="569"/>
      <c r="DK70" s="569"/>
      <c r="DL70" s="569"/>
      <c r="DM70" s="569"/>
      <c r="DN70" s="569"/>
      <c r="DO70" s="569"/>
      <c r="DP70" s="569"/>
      <c r="DQ70" s="569"/>
      <c r="DR70" s="569"/>
      <c r="DS70" s="569"/>
      <c r="DT70" s="569"/>
      <c r="DU70" s="569"/>
      <c r="DV70" s="569"/>
      <c r="DW70" s="569"/>
      <c r="DX70" s="569"/>
      <c r="DY70" s="569"/>
      <c r="DZ70" s="569"/>
      <c r="EA70" s="569"/>
      <c r="EB70" s="569"/>
      <c r="EC70" s="569"/>
      <c r="ED70" s="569"/>
      <c r="EE70" s="569"/>
      <c r="EF70" s="569"/>
      <c r="EG70" s="569"/>
      <c r="EH70" s="569"/>
      <c r="EI70" s="569"/>
      <c r="EJ70" s="569"/>
    </row>
    <row r="71" spans="1:140" s="603" customFormat="1" ht="15.75">
      <c r="A71" s="600"/>
      <c r="B71" s="600"/>
      <c r="C71" s="600"/>
      <c r="D71" s="600"/>
      <c r="E71" s="600"/>
      <c r="F71" s="645"/>
      <c r="G71" s="584"/>
      <c r="H71" s="586"/>
      <c r="I71" s="586"/>
      <c r="J71" s="587"/>
      <c r="K71" s="606"/>
      <c r="L71" s="607"/>
      <c r="M71" s="590"/>
      <c r="N71" s="590"/>
      <c r="O71" s="591"/>
      <c r="P71" s="590"/>
      <c r="Q71" s="590"/>
      <c r="R71" s="590"/>
      <c r="S71" s="590"/>
      <c r="T71" s="590"/>
      <c r="U71" s="592"/>
      <c r="V71" s="590"/>
      <c r="W71" s="590"/>
      <c r="X71" s="590"/>
      <c r="Y71" s="590"/>
      <c r="Z71" s="593"/>
      <c r="AA71" s="590"/>
      <c r="AB71" s="590"/>
      <c r="AC71" s="590"/>
      <c r="AD71" s="590"/>
      <c r="AE71" s="593"/>
      <c r="AF71" s="599"/>
      <c r="AG71" s="758"/>
      <c r="AH71" s="758"/>
      <c r="AI71" s="758"/>
      <c r="AJ71" s="758"/>
      <c r="AK71" s="758"/>
      <c r="AL71" s="734"/>
      <c r="AM71" s="800"/>
      <c r="AN71" s="569"/>
      <c r="AO71" s="569"/>
      <c r="AP71" s="734"/>
      <c r="AQ71" s="575"/>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c r="BV71" s="569"/>
      <c r="BW71" s="569"/>
      <c r="BX71" s="569"/>
      <c r="BY71" s="569"/>
      <c r="BZ71" s="569"/>
      <c r="CA71" s="569"/>
      <c r="CB71" s="569"/>
      <c r="CC71" s="569"/>
      <c r="CD71" s="569"/>
      <c r="CE71" s="569"/>
      <c r="CF71" s="569"/>
      <c r="CG71" s="569"/>
      <c r="CH71" s="569"/>
      <c r="CI71" s="569"/>
      <c r="CJ71" s="569"/>
      <c r="CK71" s="569"/>
      <c r="CL71" s="569"/>
      <c r="CM71" s="569"/>
      <c r="CN71" s="569"/>
      <c r="CO71" s="569"/>
      <c r="CP71" s="569"/>
      <c r="CQ71" s="569"/>
      <c r="CR71" s="569"/>
      <c r="CS71" s="569"/>
      <c r="CT71" s="569"/>
      <c r="CU71" s="569"/>
      <c r="CV71" s="569"/>
      <c r="CW71" s="569"/>
      <c r="CX71" s="569"/>
      <c r="CY71" s="569"/>
      <c r="CZ71" s="569"/>
      <c r="DA71" s="569"/>
      <c r="DB71" s="569"/>
      <c r="DC71" s="569"/>
      <c r="DD71" s="569"/>
      <c r="DE71" s="569"/>
      <c r="DF71" s="569"/>
      <c r="DG71" s="569"/>
      <c r="DH71" s="569"/>
      <c r="DI71" s="569"/>
      <c r="DJ71" s="569"/>
      <c r="DK71" s="569"/>
      <c r="DL71" s="569"/>
      <c r="DM71" s="569"/>
      <c r="DN71" s="569"/>
      <c r="DO71" s="569"/>
      <c r="DP71" s="569"/>
      <c r="DQ71" s="569"/>
      <c r="DR71" s="569"/>
      <c r="DS71" s="569"/>
      <c r="DT71" s="569"/>
      <c r="DU71" s="569"/>
      <c r="DV71" s="569"/>
      <c r="DW71" s="569"/>
      <c r="DX71" s="569"/>
      <c r="DY71" s="569"/>
      <c r="DZ71" s="569"/>
      <c r="EA71" s="569"/>
      <c r="EB71" s="569"/>
      <c r="EC71" s="569"/>
      <c r="ED71" s="569"/>
      <c r="EE71" s="569"/>
      <c r="EF71" s="569"/>
      <c r="EG71" s="569"/>
      <c r="EH71" s="569"/>
      <c r="EI71" s="569"/>
      <c r="EJ71" s="569"/>
    </row>
    <row r="72" spans="1:140" ht="15.75">
      <c r="A72" s="631" t="s">
        <v>62</v>
      </c>
      <c r="B72" s="624"/>
      <c r="C72" s="624"/>
      <c r="D72" s="624"/>
      <c r="E72" s="631"/>
      <c r="F72" s="663" t="s">
        <v>25</v>
      </c>
      <c r="G72" s="657"/>
      <c r="H72" s="658">
        <f>SUM(H60:H65)</f>
        <v>258911</v>
      </c>
      <c r="I72" s="586"/>
      <c r="J72" s="659">
        <f>SUM(J60:J65)</f>
        <v>342520.32062500005</v>
      </c>
      <c r="K72" s="610"/>
      <c r="L72" s="659">
        <f>SUM(L60:L65)</f>
        <v>48766.960666666666</v>
      </c>
      <c r="M72" s="659">
        <f>SUM(M60:M65)</f>
        <v>2055121.92375</v>
      </c>
      <c r="N72" s="659">
        <f>SUM(N60:N65)</f>
        <v>1908821.04175</v>
      </c>
      <c r="O72" s="639"/>
      <c r="P72" s="625">
        <f>SUM(P60:P65)</f>
        <v>2055121.92375</v>
      </c>
      <c r="Q72" s="625">
        <f>SUM(Q60:Q65)</f>
        <v>0</v>
      </c>
      <c r="R72" s="625">
        <f>SUM(R60:R65)</f>
        <v>0</v>
      </c>
      <c r="S72" s="625">
        <f>SUM(S60:S65)</f>
        <v>0</v>
      </c>
      <c r="T72" s="625">
        <f>SUM(T60:T65)</f>
        <v>2055121.92375</v>
      </c>
      <c r="U72" s="593">
        <v>773621.468549201</v>
      </c>
      <c r="V72" s="593">
        <f aca="true" t="shared" si="28" ref="V72:AE72">SUM(V60:V65)</f>
        <v>342520.32062500005</v>
      </c>
      <c r="W72" s="593">
        <f t="shared" si="28"/>
        <v>0</v>
      </c>
      <c r="X72" s="593">
        <f t="shared" si="28"/>
        <v>0</v>
      </c>
      <c r="Y72" s="593">
        <f t="shared" si="28"/>
        <v>0</v>
      </c>
      <c r="Z72" s="593">
        <f t="shared" si="28"/>
        <v>342520.32062500005</v>
      </c>
      <c r="AA72" s="593">
        <f t="shared" si="28"/>
        <v>48766.960666666666</v>
      </c>
      <c r="AB72" s="593">
        <f t="shared" si="28"/>
        <v>0</v>
      </c>
      <c r="AC72" s="593">
        <f t="shared" si="28"/>
        <v>0</v>
      </c>
      <c r="AD72" s="593">
        <f t="shared" si="28"/>
        <v>0</v>
      </c>
      <c r="AE72" s="593">
        <f t="shared" si="28"/>
        <v>48766.960666666666</v>
      </c>
      <c r="AG72" s="578"/>
      <c r="AH72" s="578"/>
      <c r="AI72" s="578"/>
      <c r="AJ72" s="578"/>
      <c r="AK72" s="578"/>
      <c r="AL72" s="579"/>
      <c r="AM72" s="580"/>
      <c r="AN72" s="581"/>
      <c r="AO72" s="581"/>
      <c r="AP72" s="579"/>
      <c r="AQ72" s="582"/>
      <c r="AR72" s="581"/>
      <c r="AS72" s="581"/>
      <c r="AT72" s="581"/>
      <c r="AU72" s="581"/>
      <c r="AV72" s="581"/>
      <c r="AW72" s="581"/>
      <c r="AX72" s="581"/>
      <c r="AY72" s="581"/>
      <c r="AZ72" s="581"/>
      <c r="BA72" s="581"/>
      <c r="BB72" s="581"/>
      <c r="BC72" s="581"/>
      <c r="BD72" s="581"/>
      <c r="BE72" s="581"/>
      <c r="BF72" s="581"/>
      <c r="BG72" s="581"/>
      <c r="BH72" s="581"/>
      <c r="BI72" s="581"/>
      <c r="BJ72" s="581"/>
      <c r="BK72" s="581"/>
      <c r="BL72" s="581"/>
      <c r="BM72" s="581"/>
      <c r="BN72" s="581"/>
      <c r="BO72" s="581"/>
      <c r="BP72" s="581"/>
      <c r="BQ72" s="581"/>
      <c r="BR72" s="581"/>
      <c r="BS72" s="581"/>
      <c r="BT72" s="581"/>
      <c r="BU72" s="581"/>
      <c r="BV72" s="581"/>
      <c r="BW72" s="581"/>
      <c r="BX72" s="581"/>
      <c r="BY72" s="581"/>
      <c r="BZ72" s="581"/>
      <c r="CA72" s="581"/>
      <c r="CB72" s="581"/>
      <c r="CC72" s="581"/>
      <c r="CD72" s="581"/>
      <c r="CE72" s="581"/>
      <c r="CF72" s="581"/>
      <c r="CG72" s="581"/>
      <c r="CH72" s="581"/>
      <c r="CI72" s="581"/>
      <c r="CJ72" s="581"/>
      <c r="CK72" s="581"/>
      <c r="CL72" s="581"/>
      <c r="CM72" s="581"/>
      <c r="CN72" s="581"/>
      <c r="CO72" s="581"/>
      <c r="CP72" s="581"/>
      <c r="CQ72" s="581"/>
      <c r="CR72" s="581"/>
      <c r="CS72" s="581"/>
      <c r="CT72" s="581"/>
      <c r="CU72" s="581"/>
      <c r="CV72" s="581"/>
      <c r="CW72" s="581"/>
      <c r="CX72" s="581"/>
      <c r="CY72" s="581"/>
      <c r="CZ72" s="581"/>
      <c r="DA72" s="581"/>
      <c r="DB72" s="581"/>
      <c r="DC72" s="581"/>
      <c r="DD72" s="581"/>
      <c r="DE72" s="581"/>
      <c r="DF72" s="581"/>
      <c r="DG72" s="581"/>
      <c r="DH72" s="581"/>
      <c r="DI72" s="581"/>
      <c r="DJ72" s="581"/>
      <c r="DK72" s="581"/>
      <c r="DL72" s="581"/>
      <c r="DM72" s="581"/>
      <c r="DN72" s="581"/>
      <c r="DO72" s="581"/>
      <c r="DP72" s="581"/>
      <c r="DQ72" s="581"/>
      <c r="DR72" s="581"/>
      <c r="DS72" s="581"/>
      <c r="DT72" s="581"/>
      <c r="DU72" s="581"/>
      <c r="DV72" s="581"/>
      <c r="DW72" s="581"/>
      <c r="DX72" s="581"/>
      <c r="DY72" s="581"/>
      <c r="DZ72" s="581"/>
      <c r="EA72" s="581"/>
      <c r="EB72" s="581"/>
      <c r="EC72" s="581"/>
      <c r="ED72" s="581"/>
      <c r="EE72" s="581"/>
      <c r="EF72" s="581"/>
      <c r="EG72" s="581"/>
      <c r="EH72" s="581"/>
      <c r="EI72" s="581"/>
      <c r="EJ72" s="581"/>
    </row>
    <row r="73" spans="1:140" s="662" customFormat="1" ht="15.75">
      <c r="A73" s="557" t="s">
        <v>51</v>
      </c>
      <c r="B73" s="557"/>
      <c r="C73" s="557"/>
      <c r="D73" s="557"/>
      <c r="E73" s="557"/>
      <c r="F73" s="558"/>
      <c r="G73" s="559"/>
      <c r="H73" s="560"/>
      <c r="I73" s="561"/>
      <c r="J73" s="561"/>
      <c r="K73" s="562"/>
      <c r="L73" s="562"/>
      <c r="M73" s="563"/>
      <c r="N73" s="563"/>
      <c r="O73" s="564"/>
      <c r="P73" s="563"/>
      <c r="Q73" s="563"/>
      <c r="R73" s="563"/>
      <c r="S73" s="563"/>
      <c r="T73" s="563"/>
      <c r="U73" s="565"/>
      <c r="V73" s="565"/>
      <c r="W73" s="565"/>
      <c r="X73" s="565"/>
      <c r="Y73" s="565"/>
      <c r="Z73" s="565"/>
      <c r="AA73" s="565"/>
      <c r="AB73" s="565"/>
      <c r="AC73" s="565"/>
      <c r="AD73" s="565"/>
      <c r="AE73" s="565"/>
      <c r="AF73" s="543"/>
      <c r="AG73" s="837"/>
      <c r="AH73" s="837"/>
      <c r="AI73" s="837"/>
      <c r="AJ73" s="837"/>
      <c r="AK73" s="837"/>
      <c r="AL73" s="818"/>
      <c r="AM73" s="816"/>
      <c r="AN73" s="817"/>
      <c r="AO73" s="817"/>
      <c r="AP73" s="818"/>
      <c r="AQ73" s="838"/>
      <c r="AR73" s="817"/>
      <c r="AS73" s="817"/>
      <c r="AT73" s="817"/>
      <c r="AU73" s="817"/>
      <c r="AV73" s="817"/>
      <c r="AW73" s="817"/>
      <c r="AX73" s="817"/>
      <c r="AY73" s="817"/>
      <c r="AZ73" s="817"/>
      <c r="BA73" s="817"/>
      <c r="BB73" s="817"/>
      <c r="BC73" s="817"/>
      <c r="BD73" s="817"/>
      <c r="BE73" s="817"/>
      <c r="BF73" s="817"/>
      <c r="BG73" s="817"/>
      <c r="BH73" s="817"/>
      <c r="BI73" s="817"/>
      <c r="BJ73" s="817"/>
      <c r="BK73" s="817"/>
      <c r="BL73" s="817"/>
      <c r="BM73" s="817"/>
      <c r="BN73" s="817"/>
      <c r="BO73" s="817"/>
      <c r="BP73" s="817"/>
      <c r="BQ73" s="817"/>
      <c r="BR73" s="817"/>
      <c r="BS73" s="817"/>
      <c r="BT73" s="817"/>
      <c r="BU73" s="817"/>
      <c r="BV73" s="817"/>
      <c r="BW73" s="817"/>
      <c r="BX73" s="817"/>
      <c r="BY73" s="817"/>
      <c r="BZ73" s="817"/>
      <c r="CA73" s="817"/>
      <c r="CB73" s="817"/>
      <c r="CC73" s="817"/>
      <c r="CD73" s="817"/>
      <c r="CE73" s="817"/>
      <c r="CF73" s="817"/>
      <c r="CG73" s="817"/>
      <c r="CH73" s="817"/>
      <c r="CI73" s="817"/>
      <c r="CJ73" s="817"/>
      <c r="CK73" s="817"/>
      <c r="CL73" s="817"/>
      <c r="CM73" s="817"/>
      <c r="CN73" s="817"/>
      <c r="CO73" s="817"/>
      <c r="CP73" s="817"/>
      <c r="CQ73" s="817"/>
      <c r="CR73" s="817"/>
      <c r="CS73" s="817"/>
      <c r="CT73" s="817"/>
      <c r="CU73" s="817"/>
      <c r="CV73" s="817"/>
      <c r="CW73" s="817"/>
      <c r="CX73" s="817"/>
      <c r="CY73" s="817"/>
      <c r="CZ73" s="817"/>
      <c r="DA73" s="817"/>
      <c r="DB73" s="817"/>
      <c r="DC73" s="817"/>
      <c r="DD73" s="817"/>
      <c r="DE73" s="817"/>
      <c r="DF73" s="817"/>
      <c r="DG73" s="817"/>
      <c r="DH73" s="817"/>
      <c r="DI73" s="817"/>
      <c r="DJ73" s="817"/>
      <c r="DK73" s="817"/>
      <c r="DL73" s="817"/>
      <c r="DM73" s="817"/>
      <c r="DN73" s="817"/>
      <c r="DO73" s="817"/>
      <c r="DP73" s="817"/>
      <c r="DQ73" s="817"/>
      <c r="DR73" s="817"/>
      <c r="DS73" s="817"/>
      <c r="DT73" s="817"/>
      <c r="DU73" s="817"/>
      <c r="DV73" s="817"/>
      <c r="DW73" s="817"/>
      <c r="DX73" s="817"/>
      <c r="DY73" s="817"/>
      <c r="DZ73" s="817"/>
      <c r="EA73" s="817"/>
      <c r="EB73" s="817"/>
      <c r="EC73" s="817"/>
      <c r="ED73" s="817"/>
      <c r="EE73" s="817"/>
      <c r="EF73" s="817"/>
      <c r="EG73" s="817"/>
      <c r="EH73" s="817"/>
      <c r="EI73" s="817"/>
      <c r="EJ73" s="817"/>
    </row>
    <row r="74" spans="1:140" ht="90">
      <c r="A74" s="600" t="s">
        <v>63</v>
      </c>
      <c r="B74" s="763" t="s">
        <v>788</v>
      </c>
      <c r="C74" s="842" t="s">
        <v>789</v>
      </c>
      <c r="D74" s="600">
        <v>1</v>
      </c>
      <c r="E74" s="600" t="s">
        <v>352</v>
      </c>
      <c r="F74" s="645">
        <v>500</v>
      </c>
      <c r="G74" s="584">
        <f>Number_of_Districts</f>
        <v>174</v>
      </c>
      <c r="H74" s="658"/>
      <c r="I74" s="586">
        <f>J74/G74</f>
        <v>83.33333333333333</v>
      </c>
      <c r="J74" s="587">
        <f>M74/BudgetYears</f>
        <v>14500</v>
      </c>
      <c r="K74" s="606">
        <v>6</v>
      </c>
      <c r="L74" s="607">
        <v>0</v>
      </c>
      <c r="M74" s="590">
        <f>(F74*G74)*(BudgetYears/K74)</f>
        <v>87000</v>
      </c>
      <c r="N74" s="590">
        <f>(M74)-(L74*3)</f>
        <v>87000</v>
      </c>
      <c r="O74" s="591" t="s">
        <v>18</v>
      </c>
      <c r="P74" s="590">
        <f>IF($O74="S/L or L",$M74,0)</f>
        <v>87000</v>
      </c>
      <c r="Q74" s="590">
        <f>IF($O74="L",$M74,0)</f>
        <v>0</v>
      </c>
      <c r="R74" s="590">
        <f>IF($O74="S",$M74,0)</f>
        <v>0</v>
      </c>
      <c r="S74" s="590">
        <f>IF($O74="F",$M74,0)</f>
        <v>0</v>
      </c>
      <c r="T74" s="590">
        <f>SUM(P74:S74)</f>
        <v>87000</v>
      </c>
      <c r="U74" s="592" t="s">
        <v>25</v>
      </c>
      <c r="V74" s="590">
        <f>IF($O74="S/L or L",$J74,0)</f>
        <v>14500</v>
      </c>
      <c r="W74" s="590">
        <f>IF($O74="L",$J74,0)</f>
        <v>0</v>
      </c>
      <c r="X74" s="590">
        <f>IF($O74="S",$J74,0)</f>
        <v>0</v>
      </c>
      <c r="Y74" s="590">
        <f>IF($O74="F",$J74,0)</f>
        <v>0</v>
      </c>
      <c r="Z74" s="593">
        <f>SUM(V74:Y74)</f>
        <v>14500</v>
      </c>
      <c r="AA74" s="590">
        <f>IF($O74="S/L or L",$L74,0)</f>
        <v>0</v>
      </c>
      <c r="AB74" s="590">
        <f>IF($O74="L",$L74,0)</f>
        <v>0</v>
      </c>
      <c r="AC74" s="590">
        <f>IF($O74="S",$L74,0)</f>
        <v>0</v>
      </c>
      <c r="AD74" s="590">
        <f>IF($O74="F",$L74,0)</f>
        <v>0</v>
      </c>
      <c r="AE74" s="593">
        <f>SUM(AA74:AD74)</f>
        <v>0</v>
      </c>
      <c r="AG74" s="578"/>
      <c r="AH74" s="578"/>
      <c r="AI74" s="578"/>
      <c r="AJ74" s="578"/>
      <c r="AK74" s="578"/>
      <c r="AL74" s="579"/>
      <c r="AM74" s="580"/>
      <c r="AN74" s="581"/>
      <c r="AO74" s="581"/>
      <c r="AP74" s="579"/>
      <c r="AQ74" s="582"/>
      <c r="AR74" s="581"/>
      <c r="AS74" s="581"/>
      <c r="AT74" s="581"/>
      <c r="AU74" s="581"/>
      <c r="AV74" s="581"/>
      <c r="AW74" s="581"/>
      <c r="AX74" s="581"/>
      <c r="AY74" s="581"/>
      <c r="AZ74" s="581"/>
      <c r="BA74" s="581"/>
      <c r="BB74" s="581"/>
      <c r="BC74" s="581"/>
      <c r="BD74" s="581"/>
      <c r="BE74" s="581"/>
      <c r="BF74" s="581"/>
      <c r="BG74" s="581"/>
      <c r="BH74" s="581"/>
      <c r="BI74" s="581"/>
      <c r="BJ74" s="581"/>
      <c r="BK74" s="581"/>
      <c r="BL74" s="581"/>
      <c r="BM74" s="581"/>
      <c r="BN74" s="581"/>
      <c r="BO74" s="581"/>
      <c r="BP74" s="581"/>
      <c r="BQ74" s="581"/>
      <c r="BR74" s="581"/>
      <c r="BS74" s="581"/>
      <c r="BT74" s="581"/>
      <c r="BU74" s="581"/>
      <c r="BV74" s="581"/>
      <c r="BW74" s="581"/>
      <c r="BX74" s="581"/>
      <c r="BY74" s="581"/>
      <c r="BZ74" s="581"/>
      <c r="CA74" s="581"/>
      <c r="CB74" s="581"/>
      <c r="CC74" s="581"/>
      <c r="CD74" s="581"/>
      <c r="CE74" s="581"/>
      <c r="CF74" s="581"/>
      <c r="CG74" s="581"/>
      <c r="CH74" s="581"/>
      <c r="CI74" s="581"/>
      <c r="CJ74" s="581"/>
      <c r="CK74" s="581"/>
      <c r="CL74" s="581"/>
      <c r="CM74" s="581"/>
      <c r="CN74" s="581"/>
      <c r="CO74" s="581"/>
      <c r="CP74" s="581"/>
      <c r="CQ74" s="581"/>
      <c r="CR74" s="581"/>
      <c r="CS74" s="581"/>
      <c r="CT74" s="581"/>
      <c r="CU74" s="581"/>
      <c r="CV74" s="581"/>
      <c r="CW74" s="581"/>
      <c r="CX74" s="581"/>
      <c r="CY74" s="581"/>
      <c r="CZ74" s="581"/>
      <c r="DA74" s="581"/>
      <c r="DB74" s="581"/>
      <c r="DC74" s="581"/>
      <c r="DD74" s="581"/>
      <c r="DE74" s="581"/>
      <c r="DF74" s="581"/>
      <c r="DG74" s="581"/>
      <c r="DH74" s="581"/>
      <c r="DI74" s="581"/>
      <c r="DJ74" s="581"/>
      <c r="DK74" s="581"/>
      <c r="DL74" s="581"/>
      <c r="DM74" s="581"/>
      <c r="DN74" s="581"/>
      <c r="DO74" s="581"/>
      <c r="DP74" s="581"/>
      <c r="DQ74" s="581"/>
      <c r="DR74" s="581"/>
      <c r="DS74" s="581"/>
      <c r="DT74" s="581"/>
      <c r="DU74" s="581"/>
      <c r="DV74" s="581"/>
      <c r="DW74" s="581"/>
      <c r="DX74" s="581"/>
      <c r="DY74" s="581"/>
      <c r="DZ74" s="581"/>
      <c r="EA74" s="581"/>
      <c r="EB74" s="581"/>
      <c r="EC74" s="581"/>
      <c r="ED74" s="581"/>
      <c r="EE74" s="581"/>
      <c r="EF74" s="581"/>
      <c r="EG74" s="581"/>
      <c r="EH74" s="581"/>
      <c r="EI74" s="581"/>
      <c r="EJ74" s="581"/>
    </row>
    <row r="75" spans="1:140" ht="15.75">
      <c r="A75" s="631" t="s">
        <v>64</v>
      </c>
      <c r="B75" s="624"/>
      <c r="C75" s="624"/>
      <c r="D75" s="624"/>
      <c r="E75" s="631"/>
      <c r="F75" s="663"/>
      <c r="G75" s="657"/>
      <c r="H75" s="658"/>
      <c r="I75" s="586"/>
      <c r="J75" s="659">
        <f>SUM(J74:J74)</f>
        <v>14500</v>
      </c>
      <c r="K75" s="610"/>
      <c r="L75" s="659">
        <f>SUM(L74:L74)</f>
        <v>0</v>
      </c>
      <c r="M75" s="659">
        <f>SUM(M74:M74)</f>
        <v>87000</v>
      </c>
      <c r="N75" s="659">
        <f>SUM(N74:N74)</f>
        <v>87000</v>
      </c>
      <c r="O75" s="639"/>
      <c r="P75" s="659">
        <f aca="true" t="shared" si="29" ref="P75:AE75">SUM(P74:P74)</f>
        <v>87000</v>
      </c>
      <c r="Q75" s="659">
        <f t="shared" si="29"/>
        <v>0</v>
      </c>
      <c r="R75" s="659">
        <f t="shared" si="29"/>
        <v>0</v>
      </c>
      <c r="S75" s="659">
        <f t="shared" si="29"/>
        <v>0</v>
      </c>
      <c r="T75" s="659">
        <f t="shared" si="29"/>
        <v>87000</v>
      </c>
      <c r="U75" s="659">
        <f t="shared" si="29"/>
        <v>0</v>
      </c>
      <c r="V75" s="659">
        <f t="shared" si="29"/>
        <v>14500</v>
      </c>
      <c r="W75" s="659">
        <f t="shared" si="29"/>
        <v>0</v>
      </c>
      <c r="X75" s="659">
        <f t="shared" si="29"/>
        <v>0</v>
      </c>
      <c r="Y75" s="659">
        <f t="shared" si="29"/>
        <v>0</v>
      </c>
      <c r="Z75" s="659">
        <f t="shared" si="29"/>
        <v>14500</v>
      </c>
      <c r="AA75" s="659">
        <f t="shared" si="29"/>
        <v>0</v>
      </c>
      <c r="AB75" s="659">
        <f t="shared" si="29"/>
        <v>0</v>
      </c>
      <c r="AC75" s="659">
        <f t="shared" si="29"/>
        <v>0</v>
      </c>
      <c r="AD75" s="659">
        <f t="shared" si="29"/>
        <v>0</v>
      </c>
      <c r="AE75" s="659">
        <f t="shared" si="29"/>
        <v>0</v>
      </c>
      <c r="AG75" s="578"/>
      <c r="AH75" s="578"/>
      <c r="AI75" s="578"/>
      <c r="AJ75" s="578"/>
      <c r="AK75" s="578"/>
      <c r="AL75" s="579"/>
      <c r="AM75" s="580"/>
      <c r="AN75" s="581"/>
      <c r="AO75" s="581"/>
      <c r="AP75" s="579"/>
      <c r="AQ75" s="582"/>
      <c r="AR75" s="581"/>
      <c r="AS75" s="581"/>
      <c r="AT75" s="581"/>
      <c r="AU75" s="581"/>
      <c r="AV75" s="581"/>
      <c r="AW75" s="581"/>
      <c r="AX75" s="581"/>
      <c r="AY75" s="581"/>
      <c r="AZ75" s="581"/>
      <c r="BA75" s="581"/>
      <c r="BB75" s="581"/>
      <c r="BC75" s="581"/>
      <c r="BD75" s="581"/>
      <c r="BE75" s="581"/>
      <c r="BF75" s="581"/>
      <c r="BG75" s="581"/>
      <c r="BH75" s="581"/>
      <c r="BI75" s="581"/>
      <c r="BJ75" s="581"/>
      <c r="BK75" s="581"/>
      <c r="BL75" s="581"/>
      <c r="BM75" s="581"/>
      <c r="BN75" s="581"/>
      <c r="BO75" s="581"/>
      <c r="BP75" s="581"/>
      <c r="BQ75" s="581"/>
      <c r="BR75" s="581"/>
      <c r="BS75" s="581"/>
      <c r="BT75" s="581"/>
      <c r="BU75" s="581"/>
      <c r="BV75" s="581"/>
      <c r="BW75" s="581"/>
      <c r="BX75" s="581"/>
      <c r="BY75" s="581"/>
      <c r="BZ75" s="581"/>
      <c r="CA75" s="581"/>
      <c r="CB75" s="581"/>
      <c r="CC75" s="581"/>
      <c r="CD75" s="581"/>
      <c r="CE75" s="581"/>
      <c r="CF75" s="581"/>
      <c r="CG75" s="581"/>
      <c r="CH75" s="581"/>
      <c r="CI75" s="581"/>
      <c r="CJ75" s="581"/>
      <c r="CK75" s="581"/>
      <c r="CL75" s="581"/>
      <c r="CM75" s="581"/>
      <c r="CN75" s="581"/>
      <c r="CO75" s="581"/>
      <c r="CP75" s="581"/>
      <c r="CQ75" s="581"/>
      <c r="CR75" s="581"/>
      <c r="CS75" s="581"/>
      <c r="CT75" s="581"/>
      <c r="CU75" s="581"/>
      <c r="CV75" s="581"/>
      <c r="CW75" s="581"/>
      <c r="CX75" s="581"/>
      <c r="CY75" s="581"/>
      <c r="CZ75" s="581"/>
      <c r="DA75" s="581"/>
      <c r="DB75" s="581"/>
      <c r="DC75" s="581"/>
      <c r="DD75" s="581"/>
      <c r="DE75" s="581"/>
      <c r="DF75" s="581"/>
      <c r="DG75" s="581"/>
      <c r="DH75" s="581"/>
      <c r="DI75" s="581"/>
      <c r="DJ75" s="581"/>
      <c r="DK75" s="581"/>
      <c r="DL75" s="581"/>
      <c r="DM75" s="581"/>
      <c r="DN75" s="581"/>
      <c r="DO75" s="581"/>
      <c r="DP75" s="581"/>
      <c r="DQ75" s="581"/>
      <c r="DR75" s="581"/>
      <c r="DS75" s="581"/>
      <c r="DT75" s="581"/>
      <c r="DU75" s="581"/>
      <c r="DV75" s="581"/>
      <c r="DW75" s="581"/>
      <c r="DX75" s="581"/>
      <c r="DY75" s="581"/>
      <c r="DZ75" s="581"/>
      <c r="EA75" s="581"/>
      <c r="EB75" s="581"/>
      <c r="EC75" s="581"/>
      <c r="ED75" s="581"/>
      <c r="EE75" s="581"/>
      <c r="EF75" s="581"/>
      <c r="EG75" s="581"/>
      <c r="EH75" s="581"/>
      <c r="EI75" s="581"/>
      <c r="EJ75" s="581"/>
    </row>
    <row r="76" spans="1:140" s="662" customFormat="1" ht="31.5">
      <c r="A76" s="557" t="s">
        <v>931</v>
      </c>
      <c r="B76" s="557"/>
      <c r="C76" s="557"/>
      <c r="D76" s="557"/>
      <c r="E76" s="557"/>
      <c r="F76" s="564"/>
      <c r="G76" s="559"/>
      <c r="H76" s="560"/>
      <c r="I76" s="561"/>
      <c r="J76" s="561"/>
      <c r="K76" s="562"/>
      <c r="L76" s="562"/>
      <c r="M76" s="563"/>
      <c r="N76" s="563"/>
      <c r="O76" s="564"/>
      <c r="P76" s="563"/>
      <c r="Q76" s="563"/>
      <c r="R76" s="563"/>
      <c r="S76" s="563"/>
      <c r="T76" s="563"/>
      <c r="U76" s="565"/>
      <c r="V76" s="565"/>
      <c r="W76" s="565"/>
      <c r="X76" s="565"/>
      <c r="Y76" s="565"/>
      <c r="Z76" s="565"/>
      <c r="AA76" s="565"/>
      <c r="AB76" s="565"/>
      <c r="AC76" s="565"/>
      <c r="AD76" s="565"/>
      <c r="AE76" s="565"/>
      <c r="AF76" s="543"/>
      <c r="AG76" s="837"/>
      <c r="AH76" s="837"/>
      <c r="AI76" s="837"/>
      <c r="AJ76" s="837"/>
      <c r="AK76" s="837"/>
      <c r="AL76" s="818"/>
      <c r="AM76" s="816"/>
      <c r="AN76" s="817"/>
      <c r="AO76" s="817"/>
      <c r="AP76" s="818"/>
      <c r="AQ76" s="838"/>
      <c r="AR76" s="817"/>
      <c r="AS76" s="817"/>
      <c r="AT76" s="817"/>
      <c r="AU76" s="817"/>
      <c r="AV76" s="817"/>
      <c r="AW76" s="817"/>
      <c r="AX76" s="817"/>
      <c r="AY76" s="817"/>
      <c r="AZ76" s="817"/>
      <c r="BA76" s="817"/>
      <c r="BB76" s="817"/>
      <c r="BC76" s="817"/>
      <c r="BD76" s="817"/>
      <c r="BE76" s="817"/>
      <c r="BF76" s="817"/>
      <c r="BG76" s="817"/>
      <c r="BH76" s="817"/>
      <c r="BI76" s="817"/>
      <c r="BJ76" s="817"/>
      <c r="BK76" s="817"/>
      <c r="BL76" s="817"/>
      <c r="BM76" s="817"/>
      <c r="BN76" s="817"/>
      <c r="BO76" s="817"/>
      <c r="BP76" s="817"/>
      <c r="BQ76" s="817"/>
      <c r="BR76" s="817"/>
      <c r="BS76" s="817"/>
      <c r="BT76" s="817"/>
      <c r="BU76" s="817"/>
      <c r="BV76" s="817"/>
      <c r="BW76" s="817"/>
      <c r="BX76" s="817"/>
      <c r="BY76" s="817"/>
      <c r="BZ76" s="817"/>
      <c r="CA76" s="817"/>
      <c r="CB76" s="817"/>
      <c r="CC76" s="817"/>
      <c r="CD76" s="817"/>
      <c r="CE76" s="817"/>
      <c r="CF76" s="817"/>
      <c r="CG76" s="817"/>
      <c r="CH76" s="817"/>
      <c r="CI76" s="817"/>
      <c r="CJ76" s="817"/>
      <c r="CK76" s="817"/>
      <c r="CL76" s="817"/>
      <c r="CM76" s="817"/>
      <c r="CN76" s="817"/>
      <c r="CO76" s="817"/>
      <c r="CP76" s="817"/>
      <c r="CQ76" s="817"/>
      <c r="CR76" s="817"/>
      <c r="CS76" s="817"/>
      <c r="CT76" s="817"/>
      <c r="CU76" s="817"/>
      <c r="CV76" s="817"/>
      <c r="CW76" s="817"/>
      <c r="CX76" s="817"/>
      <c r="CY76" s="817"/>
      <c r="CZ76" s="817"/>
      <c r="DA76" s="817"/>
      <c r="DB76" s="817"/>
      <c r="DC76" s="817"/>
      <c r="DD76" s="817"/>
      <c r="DE76" s="817"/>
      <c r="DF76" s="817"/>
      <c r="DG76" s="817"/>
      <c r="DH76" s="817"/>
      <c r="DI76" s="817"/>
      <c r="DJ76" s="817"/>
      <c r="DK76" s="817"/>
      <c r="DL76" s="817"/>
      <c r="DM76" s="817"/>
      <c r="DN76" s="817"/>
      <c r="DO76" s="817"/>
      <c r="DP76" s="817"/>
      <c r="DQ76" s="817"/>
      <c r="DR76" s="817"/>
      <c r="DS76" s="817"/>
      <c r="DT76" s="817"/>
      <c r="DU76" s="817"/>
      <c r="DV76" s="817"/>
      <c r="DW76" s="817"/>
      <c r="DX76" s="817"/>
      <c r="DY76" s="817"/>
      <c r="DZ76" s="817"/>
      <c r="EA76" s="817"/>
      <c r="EB76" s="817"/>
      <c r="EC76" s="817"/>
      <c r="ED76" s="817"/>
      <c r="EE76" s="817"/>
      <c r="EF76" s="817"/>
      <c r="EG76" s="817"/>
      <c r="EH76" s="817"/>
      <c r="EI76" s="817"/>
      <c r="EJ76" s="817"/>
    </row>
    <row r="77" spans="1:140" s="567" customFormat="1" ht="105">
      <c r="A77" s="600" t="s">
        <v>65</v>
      </c>
      <c r="B77" s="763" t="s">
        <v>945</v>
      </c>
      <c r="C77" s="842" t="s">
        <v>807</v>
      </c>
      <c r="D77" s="754" t="s">
        <v>731</v>
      </c>
      <c r="E77" s="754" t="s">
        <v>352</v>
      </c>
      <c r="F77" s="583">
        <v>240</v>
      </c>
      <c r="G77" s="584">
        <f>'Reference Data'!$B$2*'Reference Data'!$B$17</f>
        <v>1740</v>
      </c>
      <c r="H77" s="605">
        <f>(G77*F77)*0.05</f>
        <v>20880</v>
      </c>
      <c r="I77" s="586">
        <f>J77/G77</f>
        <v>12</v>
      </c>
      <c r="J77" s="587">
        <f>M77/BudgetYears</f>
        <v>20880</v>
      </c>
      <c r="K77" s="606">
        <v>20</v>
      </c>
      <c r="L77" s="607">
        <v>0</v>
      </c>
      <c r="M77" s="590">
        <f>(F77*G77)*(BudgetYears/K77)</f>
        <v>125280</v>
      </c>
      <c r="N77" s="590">
        <f>(M77)-(L77*3)</f>
        <v>125280</v>
      </c>
      <c r="O77" s="591" t="s">
        <v>34</v>
      </c>
      <c r="P77" s="590">
        <f>IF($O77="S/L or L",$M77,0)</f>
        <v>0</v>
      </c>
      <c r="Q77" s="590">
        <f>IF($O77="L",$M77,0)</f>
        <v>0</v>
      </c>
      <c r="R77" s="590">
        <f>IF($O77="S",$M77,0)</f>
        <v>0</v>
      </c>
      <c r="S77" s="590">
        <f>IF($O77="F",$M77,0)</f>
        <v>125280</v>
      </c>
      <c r="T77" s="590">
        <f>SUM(P77:S77)</f>
        <v>125280</v>
      </c>
      <c r="U77" s="592" t="s">
        <v>135</v>
      </c>
      <c r="V77" s="590">
        <f>IF($O77="S/L or L",$J77,0)</f>
        <v>0</v>
      </c>
      <c r="W77" s="590">
        <f>IF($O77="L",$J77,0)</f>
        <v>0</v>
      </c>
      <c r="X77" s="590">
        <f>IF($O77="S",$J77,0)</f>
        <v>0</v>
      </c>
      <c r="Y77" s="590">
        <f>IF($O77="F",$J77,0)</f>
        <v>20880</v>
      </c>
      <c r="Z77" s="593">
        <f>SUM(V77:Y77)</f>
        <v>20880</v>
      </c>
      <c r="AA77" s="590">
        <f>IF($O77="S/L or L",$L77,0)</f>
        <v>0</v>
      </c>
      <c r="AB77" s="590">
        <f>IF($O77="L",$L77,0)</f>
        <v>0</v>
      </c>
      <c r="AC77" s="590">
        <f>IF($O77="S",$L77,0)</f>
        <v>0</v>
      </c>
      <c r="AD77" s="590">
        <f>IF($O77="F",$L77,0)</f>
        <v>0</v>
      </c>
      <c r="AE77" s="593">
        <f>SUM(AA77:AD77)</f>
        <v>0</v>
      </c>
      <c r="AF77" s="566"/>
      <c r="AG77" s="578"/>
      <c r="AH77" s="578"/>
      <c r="AI77" s="578"/>
      <c r="AJ77" s="578"/>
      <c r="AK77" s="578"/>
      <c r="AL77" s="579"/>
      <c r="AM77" s="580"/>
      <c r="AN77" s="581"/>
      <c r="AO77" s="581"/>
      <c r="AP77" s="579"/>
      <c r="AQ77" s="582"/>
      <c r="AR77" s="581"/>
      <c r="AS77" s="581"/>
      <c r="AT77" s="581"/>
      <c r="AU77" s="581"/>
      <c r="AV77" s="581"/>
      <c r="AW77" s="581"/>
      <c r="AX77" s="581"/>
      <c r="AY77" s="581"/>
      <c r="AZ77" s="581"/>
      <c r="BA77" s="581"/>
      <c r="BB77" s="581"/>
      <c r="BC77" s="581"/>
      <c r="BD77" s="581"/>
      <c r="BE77" s="581"/>
      <c r="BF77" s="581"/>
      <c r="BG77" s="581"/>
      <c r="BH77" s="581"/>
      <c r="BI77" s="581"/>
      <c r="BJ77" s="581"/>
      <c r="BK77" s="581"/>
      <c r="BL77" s="581"/>
      <c r="BM77" s="581"/>
      <c r="BN77" s="581"/>
      <c r="BO77" s="581"/>
      <c r="BP77" s="581"/>
      <c r="BQ77" s="581"/>
      <c r="BR77" s="581"/>
      <c r="BS77" s="581"/>
      <c r="BT77" s="581"/>
      <c r="BU77" s="581"/>
      <c r="BV77" s="581"/>
      <c r="BW77" s="581"/>
      <c r="BX77" s="581"/>
      <c r="BY77" s="581"/>
      <c r="BZ77" s="581"/>
      <c r="CA77" s="581"/>
      <c r="CB77" s="581"/>
      <c r="CC77" s="581"/>
      <c r="CD77" s="581"/>
      <c r="CE77" s="581"/>
      <c r="CF77" s="581"/>
      <c r="CG77" s="581"/>
      <c r="CH77" s="581"/>
      <c r="CI77" s="581"/>
      <c r="CJ77" s="581"/>
      <c r="CK77" s="581"/>
      <c r="CL77" s="581"/>
      <c r="CM77" s="581"/>
      <c r="CN77" s="581"/>
      <c r="CO77" s="581"/>
      <c r="CP77" s="581"/>
      <c r="CQ77" s="581"/>
      <c r="CR77" s="581"/>
      <c r="CS77" s="581"/>
      <c r="CT77" s="581"/>
      <c r="CU77" s="581"/>
      <c r="CV77" s="581"/>
      <c r="CW77" s="581"/>
      <c r="CX77" s="581"/>
      <c r="CY77" s="581"/>
      <c r="CZ77" s="581"/>
      <c r="DA77" s="581"/>
      <c r="DB77" s="581"/>
      <c r="DC77" s="581"/>
      <c r="DD77" s="581"/>
      <c r="DE77" s="581"/>
      <c r="DF77" s="581"/>
      <c r="DG77" s="581"/>
      <c r="DH77" s="581"/>
      <c r="DI77" s="581"/>
      <c r="DJ77" s="581"/>
      <c r="DK77" s="581"/>
      <c r="DL77" s="581"/>
      <c r="DM77" s="581"/>
      <c r="DN77" s="581"/>
      <c r="DO77" s="581"/>
      <c r="DP77" s="581"/>
      <c r="DQ77" s="581"/>
      <c r="DR77" s="581"/>
      <c r="DS77" s="581"/>
      <c r="DT77" s="581"/>
      <c r="DU77" s="581"/>
      <c r="DV77" s="581"/>
      <c r="DW77" s="581"/>
      <c r="DX77" s="581"/>
      <c r="DY77" s="581"/>
      <c r="DZ77" s="581"/>
      <c r="EA77" s="581"/>
      <c r="EB77" s="581"/>
      <c r="EC77" s="581"/>
      <c r="ED77" s="581"/>
      <c r="EE77" s="581"/>
      <c r="EF77" s="581"/>
      <c r="EG77" s="581"/>
      <c r="EH77" s="581"/>
      <c r="EI77" s="581"/>
      <c r="EJ77" s="581"/>
    </row>
    <row r="78" spans="1:140" ht="45">
      <c r="A78" s="600" t="s">
        <v>66</v>
      </c>
      <c r="B78" s="600" t="s">
        <v>773</v>
      </c>
      <c r="C78" s="600"/>
      <c r="D78" s="600"/>
      <c r="E78" s="600"/>
      <c r="F78" s="583">
        <v>0</v>
      </c>
      <c r="G78" s="584">
        <v>0</v>
      </c>
      <c r="H78" s="605">
        <f>(G78*F78)*0.05</f>
        <v>0</v>
      </c>
      <c r="I78" s="586">
        <v>0</v>
      </c>
      <c r="J78" s="587">
        <f>M78/BudgetYears</f>
        <v>0</v>
      </c>
      <c r="K78" s="606">
        <v>20</v>
      </c>
      <c r="L78" s="607">
        <v>0</v>
      </c>
      <c r="M78" s="590">
        <f>(F78*G78)*(BudgetYears/K78)</f>
        <v>0</v>
      </c>
      <c r="N78" s="590">
        <f>(M78)-(L78*3)</f>
        <v>0</v>
      </c>
      <c r="O78" s="591" t="s">
        <v>34</v>
      </c>
      <c r="P78" s="590">
        <f>IF($O78="S/L or L",$M78,0)</f>
        <v>0</v>
      </c>
      <c r="Q78" s="590">
        <f>IF($O78="L",$M78,0)</f>
        <v>0</v>
      </c>
      <c r="R78" s="590">
        <f>IF($O78="S",$M78,0)</f>
        <v>0</v>
      </c>
      <c r="S78" s="590">
        <f>IF($O78="F",$M78,0)</f>
        <v>0</v>
      </c>
      <c r="T78" s="590">
        <f>SUM(P78:S78)</f>
        <v>0</v>
      </c>
      <c r="U78" s="592" t="s">
        <v>25</v>
      </c>
      <c r="V78" s="590">
        <f>IF($O78="S/L or L",$J78,0)</f>
        <v>0</v>
      </c>
      <c r="W78" s="590">
        <f>IF($O78="L",$J78,0)</f>
        <v>0</v>
      </c>
      <c r="X78" s="590">
        <f>IF($O78="S",$J78,0)</f>
        <v>0</v>
      </c>
      <c r="Y78" s="590">
        <f>IF($O78="F",$J78,0)</f>
        <v>0</v>
      </c>
      <c r="Z78" s="593">
        <f>SUM(V78:Y78)</f>
        <v>0</v>
      </c>
      <c r="AA78" s="590">
        <f>IF($O78="S/L or L",$L78,0)</f>
        <v>0</v>
      </c>
      <c r="AB78" s="590">
        <f>IF($O78="L",$L78,0)</f>
        <v>0</v>
      </c>
      <c r="AC78" s="590">
        <f>IF($O78="S",$L78,0)</f>
        <v>0</v>
      </c>
      <c r="AD78" s="590">
        <f>IF($O78="F",$L78,0)</f>
        <v>0</v>
      </c>
      <c r="AE78" s="593">
        <f>SUM(AA78:AD78)</f>
        <v>0</v>
      </c>
      <c r="AG78" s="578"/>
      <c r="AH78" s="578"/>
      <c r="AI78" s="578"/>
      <c r="AJ78" s="578"/>
      <c r="AK78" s="578"/>
      <c r="AL78" s="579"/>
      <c r="AM78" s="580"/>
      <c r="AN78" s="581"/>
      <c r="AO78" s="581"/>
      <c r="AP78" s="579"/>
      <c r="AQ78" s="582"/>
      <c r="AR78" s="581"/>
      <c r="AS78" s="581"/>
      <c r="AT78" s="581"/>
      <c r="AU78" s="581"/>
      <c r="AV78" s="581"/>
      <c r="AW78" s="581"/>
      <c r="AX78" s="581"/>
      <c r="AY78" s="581"/>
      <c r="AZ78" s="581"/>
      <c r="BA78" s="581"/>
      <c r="BB78" s="581"/>
      <c r="BC78" s="581"/>
      <c r="BD78" s="581"/>
      <c r="BE78" s="581"/>
      <c r="BF78" s="581"/>
      <c r="BG78" s="581"/>
      <c r="BH78" s="581"/>
      <c r="BI78" s="581"/>
      <c r="BJ78" s="581"/>
      <c r="BK78" s="581"/>
      <c r="BL78" s="581"/>
      <c r="BM78" s="581"/>
      <c r="BN78" s="581"/>
      <c r="BO78" s="581"/>
      <c r="BP78" s="581"/>
      <c r="BQ78" s="581"/>
      <c r="BR78" s="581"/>
      <c r="BS78" s="581"/>
      <c r="BT78" s="581"/>
      <c r="BU78" s="581"/>
      <c r="BV78" s="581"/>
      <c r="BW78" s="581"/>
      <c r="BX78" s="581"/>
      <c r="BY78" s="581"/>
      <c r="BZ78" s="581"/>
      <c r="CA78" s="581"/>
      <c r="CB78" s="581"/>
      <c r="CC78" s="581"/>
      <c r="CD78" s="581"/>
      <c r="CE78" s="581"/>
      <c r="CF78" s="581"/>
      <c r="CG78" s="581"/>
      <c r="CH78" s="581"/>
      <c r="CI78" s="581"/>
      <c r="CJ78" s="581"/>
      <c r="CK78" s="581"/>
      <c r="CL78" s="581"/>
      <c r="CM78" s="581"/>
      <c r="CN78" s="581"/>
      <c r="CO78" s="581"/>
      <c r="CP78" s="581"/>
      <c r="CQ78" s="581"/>
      <c r="CR78" s="581"/>
      <c r="CS78" s="581"/>
      <c r="CT78" s="581"/>
      <c r="CU78" s="581"/>
      <c r="CV78" s="581"/>
      <c r="CW78" s="581"/>
      <c r="CX78" s="581"/>
      <c r="CY78" s="581"/>
      <c r="CZ78" s="581"/>
      <c r="DA78" s="581"/>
      <c r="DB78" s="581"/>
      <c r="DC78" s="581"/>
      <c r="DD78" s="581"/>
      <c r="DE78" s="581"/>
      <c r="DF78" s="581"/>
      <c r="DG78" s="581"/>
      <c r="DH78" s="581"/>
      <c r="DI78" s="581"/>
      <c r="DJ78" s="581"/>
      <c r="DK78" s="581"/>
      <c r="DL78" s="581"/>
      <c r="DM78" s="581"/>
      <c r="DN78" s="581"/>
      <c r="DO78" s="581"/>
      <c r="DP78" s="581"/>
      <c r="DQ78" s="581"/>
      <c r="DR78" s="581"/>
      <c r="DS78" s="581"/>
      <c r="DT78" s="581"/>
      <c r="DU78" s="581"/>
      <c r="DV78" s="581"/>
      <c r="DW78" s="581"/>
      <c r="DX78" s="581"/>
      <c r="DY78" s="581"/>
      <c r="DZ78" s="581"/>
      <c r="EA78" s="581"/>
      <c r="EB78" s="581"/>
      <c r="EC78" s="581"/>
      <c r="ED78" s="581"/>
      <c r="EE78" s="581"/>
      <c r="EF78" s="581"/>
      <c r="EG78" s="581"/>
      <c r="EH78" s="581"/>
      <c r="EI78" s="581"/>
      <c r="EJ78" s="581"/>
    </row>
    <row r="79" spans="1:140" s="603" customFormat="1" ht="15.75">
      <c r="A79" s="600"/>
      <c r="B79" s="600"/>
      <c r="C79" s="600"/>
      <c r="D79" s="600"/>
      <c r="E79" s="600"/>
      <c r="F79" s="583"/>
      <c r="G79" s="584"/>
      <c r="H79" s="586"/>
      <c r="I79" s="586"/>
      <c r="J79" s="587"/>
      <c r="K79" s="606"/>
      <c r="L79" s="607"/>
      <c r="M79" s="590"/>
      <c r="N79" s="590"/>
      <c r="O79" s="591"/>
      <c r="P79" s="590"/>
      <c r="Q79" s="590"/>
      <c r="R79" s="590"/>
      <c r="S79" s="590"/>
      <c r="T79" s="590"/>
      <c r="U79" s="592"/>
      <c r="V79" s="590"/>
      <c r="W79" s="590"/>
      <c r="X79" s="590"/>
      <c r="Y79" s="590"/>
      <c r="Z79" s="593"/>
      <c r="AA79" s="590"/>
      <c r="AB79" s="590"/>
      <c r="AC79" s="590"/>
      <c r="AD79" s="590"/>
      <c r="AE79" s="593"/>
      <c r="AF79" s="599"/>
      <c r="AG79" s="758"/>
      <c r="AH79" s="760"/>
      <c r="AI79" s="759"/>
      <c r="AJ79" s="758"/>
      <c r="AK79" s="758"/>
      <c r="AL79" s="734"/>
      <c r="AM79" s="800"/>
      <c r="AN79" s="569"/>
      <c r="AO79" s="569"/>
      <c r="AP79" s="734"/>
      <c r="AQ79" s="575"/>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569"/>
      <c r="CG79" s="569"/>
      <c r="CH79" s="569"/>
      <c r="CI79" s="569"/>
      <c r="CJ79" s="569"/>
      <c r="CK79" s="569"/>
      <c r="CL79" s="569"/>
      <c r="CM79" s="569"/>
      <c r="CN79" s="569"/>
      <c r="CO79" s="569"/>
      <c r="CP79" s="569"/>
      <c r="CQ79" s="569"/>
      <c r="CR79" s="569"/>
      <c r="CS79" s="569"/>
      <c r="CT79" s="569"/>
      <c r="CU79" s="569"/>
      <c r="CV79" s="569"/>
      <c r="CW79" s="569"/>
      <c r="CX79" s="569"/>
      <c r="CY79" s="569"/>
      <c r="CZ79" s="569"/>
      <c r="DA79" s="569"/>
      <c r="DB79" s="569"/>
      <c r="DC79" s="569"/>
      <c r="DD79" s="569"/>
      <c r="DE79" s="569"/>
      <c r="DF79" s="569"/>
      <c r="DG79" s="569"/>
      <c r="DH79" s="569"/>
      <c r="DI79" s="569"/>
      <c r="DJ79" s="569"/>
      <c r="DK79" s="569"/>
      <c r="DL79" s="569"/>
      <c r="DM79" s="569"/>
      <c r="DN79" s="569"/>
      <c r="DO79" s="569"/>
      <c r="DP79" s="569"/>
      <c r="DQ79" s="569"/>
      <c r="DR79" s="569"/>
      <c r="DS79" s="569"/>
      <c r="DT79" s="569"/>
      <c r="DU79" s="569"/>
      <c r="DV79" s="569"/>
      <c r="DW79" s="569"/>
      <c r="DX79" s="569"/>
      <c r="DY79" s="569"/>
      <c r="DZ79" s="569"/>
      <c r="EA79" s="569"/>
      <c r="EB79" s="569"/>
      <c r="EC79" s="569"/>
      <c r="ED79" s="569"/>
      <c r="EE79" s="569"/>
      <c r="EF79" s="569"/>
      <c r="EG79" s="569"/>
      <c r="EH79" s="569"/>
      <c r="EI79" s="569"/>
      <c r="EJ79" s="569"/>
    </row>
    <row r="80" spans="1:140" ht="15.75">
      <c r="A80" s="600"/>
      <c r="B80" s="600"/>
      <c r="C80" s="600"/>
      <c r="D80" s="600"/>
      <c r="E80" s="600"/>
      <c r="F80" s="583"/>
      <c r="I80" s="586"/>
      <c r="J80" s="587"/>
      <c r="K80" s="606"/>
      <c r="L80" s="607"/>
      <c r="M80" s="590"/>
      <c r="N80" s="590"/>
      <c r="O80" s="591"/>
      <c r="P80" s="590"/>
      <c r="Q80" s="590"/>
      <c r="R80" s="590"/>
      <c r="S80" s="590"/>
      <c r="T80" s="590"/>
      <c r="U80" s="592"/>
      <c r="V80" s="590"/>
      <c r="W80" s="590"/>
      <c r="X80" s="590"/>
      <c r="Y80" s="590"/>
      <c r="Z80" s="593"/>
      <c r="AA80" s="590"/>
      <c r="AB80" s="590"/>
      <c r="AC80" s="590"/>
      <c r="AD80" s="590"/>
      <c r="AE80" s="593"/>
      <c r="AG80" s="578"/>
      <c r="AH80" s="578"/>
      <c r="AI80" s="578"/>
      <c r="AJ80" s="578"/>
      <c r="AK80" s="578"/>
      <c r="AL80" s="579"/>
      <c r="AM80" s="580"/>
      <c r="AN80" s="581"/>
      <c r="AO80" s="581"/>
      <c r="AP80" s="579"/>
      <c r="AQ80" s="582"/>
      <c r="AR80" s="581"/>
      <c r="AS80" s="581"/>
      <c r="AT80" s="581"/>
      <c r="AU80" s="581"/>
      <c r="AV80" s="581"/>
      <c r="AW80" s="581"/>
      <c r="AX80" s="581"/>
      <c r="AY80" s="581"/>
      <c r="AZ80" s="581"/>
      <c r="BA80" s="581"/>
      <c r="BB80" s="581"/>
      <c r="BC80" s="581"/>
      <c r="BD80" s="581"/>
      <c r="BE80" s="581"/>
      <c r="BF80" s="581"/>
      <c r="BG80" s="581"/>
      <c r="BH80" s="581"/>
      <c r="BI80" s="581"/>
      <c r="BJ80" s="581"/>
      <c r="BK80" s="581"/>
      <c r="BL80" s="581"/>
      <c r="BM80" s="581"/>
      <c r="BN80" s="581"/>
      <c r="BO80" s="581"/>
      <c r="BP80" s="581"/>
      <c r="BQ80" s="581"/>
      <c r="BR80" s="581"/>
      <c r="BS80" s="581"/>
      <c r="BT80" s="581"/>
      <c r="BU80" s="581"/>
      <c r="BV80" s="581"/>
      <c r="BW80" s="581"/>
      <c r="BX80" s="581"/>
      <c r="BY80" s="581"/>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1"/>
      <c r="DF80" s="581"/>
      <c r="DG80" s="581"/>
      <c r="DH80" s="581"/>
      <c r="DI80" s="581"/>
      <c r="DJ80" s="581"/>
      <c r="DK80" s="581"/>
      <c r="DL80" s="581"/>
      <c r="DM80" s="581"/>
      <c r="DN80" s="581"/>
      <c r="DO80" s="581"/>
      <c r="DP80" s="581"/>
      <c r="DQ80" s="581"/>
      <c r="DR80" s="581"/>
      <c r="DS80" s="581"/>
      <c r="DT80" s="581"/>
      <c r="DU80" s="581"/>
      <c r="DV80" s="581"/>
      <c r="DW80" s="581"/>
      <c r="DX80" s="581"/>
      <c r="DY80" s="581"/>
      <c r="DZ80" s="581"/>
      <c r="EA80" s="581"/>
      <c r="EB80" s="581"/>
      <c r="EC80" s="581"/>
      <c r="ED80" s="581"/>
      <c r="EE80" s="581"/>
      <c r="EF80" s="581"/>
      <c r="EG80" s="581"/>
      <c r="EH80" s="581"/>
      <c r="EI80" s="581"/>
      <c r="EJ80" s="581"/>
    </row>
    <row r="81" spans="1:140" ht="105">
      <c r="A81" s="600" t="s">
        <v>876</v>
      </c>
      <c r="B81" s="763" t="s">
        <v>945</v>
      </c>
      <c r="C81" s="842" t="s">
        <v>807</v>
      </c>
      <c r="D81" s="754" t="s">
        <v>731</v>
      </c>
      <c r="E81" s="754" t="s">
        <v>352</v>
      </c>
      <c r="F81" s="583">
        <v>240</v>
      </c>
      <c r="G81" s="584">
        <v>1750</v>
      </c>
      <c r="I81" s="586"/>
      <c r="J81" s="587">
        <f>SUM(F81*G81)/K81</f>
        <v>21000</v>
      </c>
      <c r="K81" s="606">
        <v>20</v>
      </c>
      <c r="L81" s="607"/>
      <c r="M81" s="590"/>
      <c r="N81" s="590"/>
      <c r="O81" s="591" t="s">
        <v>34</v>
      </c>
      <c r="P81" s="590"/>
      <c r="Q81" s="590"/>
      <c r="R81" s="590"/>
      <c r="S81" s="590"/>
      <c r="T81" s="590"/>
      <c r="U81" s="592"/>
      <c r="V81" s="590"/>
      <c r="W81" s="590"/>
      <c r="X81" s="590"/>
      <c r="Y81" s="590"/>
      <c r="Z81" s="593"/>
      <c r="AA81" s="590"/>
      <c r="AB81" s="590"/>
      <c r="AC81" s="590"/>
      <c r="AD81" s="590"/>
      <c r="AE81" s="593"/>
      <c r="AG81" s="578"/>
      <c r="AH81" s="578"/>
      <c r="AI81" s="578"/>
      <c r="AJ81" s="578"/>
      <c r="AK81" s="578"/>
      <c r="AL81" s="579"/>
      <c r="AM81" s="580"/>
      <c r="AN81" s="581"/>
      <c r="AO81" s="581"/>
      <c r="AP81" s="579"/>
      <c r="AQ81" s="582"/>
      <c r="AR81" s="581"/>
      <c r="AS81" s="581"/>
      <c r="AT81" s="581"/>
      <c r="AU81" s="581"/>
      <c r="AV81" s="581"/>
      <c r="AW81" s="581"/>
      <c r="AX81" s="581"/>
      <c r="AY81" s="581"/>
      <c r="AZ81" s="581"/>
      <c r="BA81" s="581"/>
      <c r="BB81" s="581"/>
      <c r="BC81" s="581"/>
      <c r="BD81" s="581"/>
      <c r="BE81" s="581"/>
      <c r="BF81" s="581"/>
      <c r="BG81" s="581"/>
      <c r="BH81" s="581"/>
      <c r="BI81" s="581"/>
      <c r="BJ81" s="581"/>
      <c r="BK81" s="581"/>
      <c r="BL81" s="581"/>
      <c r="BM81" s="581"/>
      <c r="BN81" s="581"/>
      <c r="BO81" s="581"/>
      <c r="BP81" s="581"/>
      <c r="BQ81" s="581"/>
      <c r="BR81" s="581"/>
      <c r="BS81" s="581"/>
      <c r="BT81" s="581"/>
      <c r="BU81" s="581"/>
      <c r="BV81" s="581"/>
      <c r="BW81" s="581"/>
      <c r="BX81" s="581"/>
      <c r="BY81" s="581"/>
      <c r="BZ81" s="581"/>
      <c r="CA81" s="581"/>
      <c r="CB81" s="581"/>
      <c r="CC81" s="581"/>
      <c r="CD81" s="581"/>
      <c r="CE81" s="581"/>
      <c r="CF81" s="581"/>
      <c r="CG81" s="581"/>
      <c r="CH81" s="581"/>
      <c r="CI81" s="581"/>
      <c r="CJ81" s="581"/>
      <c r="CK81" s="581"/>
      <c r="CL81" s="581"/>
      <c r="CM81" s="581"/>
      <c r="CN81" s="581"/>
      <c r="CO81" s="581"/>
      <c r="CP81" s="581"/>
      <c r="CQ81" s="581"/>
      <c r="CR81" s="581"/>
      <c r="CS81" s="581"/>
      <c r="CT81" s="581"/>
      <c r="CU81" s="581"/>
      <c r="CV81" s="581"/>
      <c r="CW81" s="581"/>
      <c r="CX81" s="581"/>
      <c r="CY81" s="581"/>
      <c r="CZ81" s="581"/>
      <c r="DA81" s="581"/>
      <c r="DB81" s="581"/>
      <c r="DC81" s="581"/>
      <c r="DD81" s="581"/>
      <c r="DE81" s="581"/>
      <c r="DF81" s="581"/>
      <c r="DG81" s="581"/>
      <c r="DH81" s="581"/>
      <c r="DI81" s="581"/>
      <c r="DJ81" s="581"/>
      <c r="DK81" s="581"/>
      <c r="DL81" s="581"/>
      <c r="DM81" s="581"/>
      <c r="DN81" s="581"/>
      <c r="DO81" s="581"/>
      <c r="DP81" s="581"/>
      <c r="DQ81" s="581"/>
      <c r="DR81" s="581"/>
      <c r="DS81" s="581"/>
      <c r="DT81" s="581"/>
      <c r="DU81" s="581"/>
      <c r="DV81" s="581"/>
      <c r="DW81" s="581"/>
      <c r="DX81" s="581"/>
      <c r="DY81" s="581"/>
      <c r="DZ81" s="581"/>
      <c r="EA81" s="581"/>
      <c r="EB81" s="581"/>
      <c r="EC81" s="581"/>
      <c r="ED81" s="581"/>
      <c r="EE81" s="581"/>
      <c r="EF81" s="581"/>
      <c r="EG81" s="581"/>
      <c r="EH81" s="581"/>
      <c r="EI81" s="581"/>
      <c r="EJ81" s="581"/>
    </row>
    <row r="82" spans="1:140" ht="90">
      <c r="A82" s="600" t="s">
        <v>877</v>
      </c>
      <c r="B82" s="763" t="s">
        <v>790</v>
      </c>
      <c r="C82" s="842" t="s">
        <v>690</v>
      </c>
      <c r="D82" s="754" t="s">
        <v>731</v>
      </c>
      <c r="E82" s="754" t="s">
        <v>352</v>
      </c>
      <c r="F82" s="583">
        <v>70</v>
      </c>
      <c r="G82" s="584">
        <f>'Reference Data'!$B$2*'Reference Data'!$B$17</f>
        <v>1740</v>
      </c>
      <c r="H82" s="605">
        <f>(G82*F82)*0.05</f>
        <v>6090</v>
      </c>
      <c r="I82" s="586">
        <f>J82/G82</f>
        <v>7</v>
      </c>
      <c r="J82" s="587">
        <f>M82/BudgetYears</f>
        <v>12180</v>
      </c>
      <c r="K82" s="606">
        <v>10</v>
      </c>
      <c r="L82" s="607">
        <v>0</v>
      </c>
      <c r="M82" s="590">
        <f>(F82*G82)*(BudgetYears/K82)</f>
        <v>73080</v>
      </c>
      <c r="N82" s="590">
        <f>(M82)-(L82*3)</f>
        <v>73080</v>
      </c>
      <c r="O82" s="591" t="s">
        <v>18</v>
      </c>
      <c r="P82" s="590">
        <f>IF($O82="S/L or L",$M82,0)</f>
        <v>73080</v>
      </c>
      <c r="Q82" s="590">
        <f>IF($O82="L",$M82,0)</f>
        <v>0</v>
      </c>
      <c r="R82" s="590">
        <f>IF($O82="S",$M82,0)</f>
        <v>0</v>
      </c>
      <c r="S82" s="590">
        <f>IF($O82="F",$M82,0)</f>
        <v>0</v>
      </c>
      <c r="T82" s="590">
        <f>SUM(P82:S82)</f>
        <v>73080</v>
      </c>
      <c r="U82" s="592" t="s">
        <v>25</v>
      </c>
      <c r="V82" s="590">
        <f>IF($O82="S/L or L",$J82,0)</f>
        <v>12180</v>
      </c>
      <c r="W82" s="590">
        <f>IF($O82="L",$J82,0)</f>
        <v>0</v>
      </c>
      <c r="X82" s="590">
        <f>IF($O82="S",$J82,0)</f>
        <v>0</v>
      </c>
      <c r="Y82" s="590">
        <f>IF($O82="F",$J82,0)</f>
        <v>0</v>
      </c>
      <c r="Z82" s="593">
        <f>SUM(V82:Y82)</f>
        <v>12180</v>
      </c>
      <c r="AA82" s="590">
        <f>IF($O82="S/L or L",$L82,0)</f>
        <v>0</v>
      </c>
      <c r="AB82" s="590">
        <f>IF($O82="L",$L82,0)</f>
        <v>0</v>
      </c>
      <c r="AC82" s="590">
        <f>IF($O82="S",$L82,0)</f>
        <v>0</v>
      </c>
      <c r="AD82" s="590">
        <f>IF($O82="F",$L82,0)</f>
        <v>0</v>
      </c>
      <c r="AE82" s="593">
        <f>SUM(AA82:AD82)</f>
        <v>0</v>
      </c>
      <c r="AG82" s="578"/>
      <c r="AH82" s="578"/>
      <c r="AI82" s="578"/>
      <c r="AJ82" s="578"/>
      <c r="AK82" s="578"/>
      <c r="AL82" s="579"/>
      <c r="AM82" s="580"/>
      <c r="AN82" s="581"/>
      <c r="AO82" s="581"/>
      <c r="AP82" s="579"/>
      <c r="AQ82" s="582"/>
      <c r="AR82" s="581"/>
      <c r="AS82" s="581"/>
      <c r="AT82" s="581"/>
      <c r="AU82" s="581"/>
      <c r="AV82" s="581"/>
      <c r="AW82" s="581"/>
      <c r="AX82" s="581"/>
      <c r="AY82" s="581"/>
      <c r="AZ82" s="581"/>
      <c r="BA82" s="581"/>
      <c r="BB82" s="581"/>
      <c r="BC82" s="581"/>
      <c r="BD82" s="581"/>
      <c r="BE82" s="581"/>
      <c r="BF82" s="581"/>
      <c r="BG82" s="581"/>
      <c r="BH82" s="581"/>
      <c r="BI82" s="581"/>
      <c r="BJ82" s="581"/>
      <c r="BK82" s="581"/>
      <c r="BL82" s="581"/>
      <c r="BM82" s="581"/>
      <c r="BN82" s="581"/>
      <c r="BO82" s="581"/>
      <c r="BP82" s="581"/>
      <c r="BQ82" s="581"/>
      <c r="BR82" s="581"/>
      <c r="BS82" s="581"/>
      <c r="BT82" s="581"/>
      <c r="BU82" s="581"/>
      <c r="BV82" s="581"/>
      <c r="BW82" s="581"/>
      <c r="BX82" s="581"/>
      <c r="BY82" s="581"/>
      <c r="BZ82" s="581"/>
      <c r="CA82" s="581"/>
      <c r="CB82" s="581"/>
      <c r="CC82" s="581"/>
      <c r="CD82" s="581"/>
      <c r="CE82" s="581"/>
      <c r="CF82" s="581"/>
      <c r="CG82" s="581"/>
      <c r="CH82" s="581"/>
      <c r="CI82" s="581"/>
      <c r="CJ82" s="581"/>
      <c r="CK82" s="581"/>
      <c r="CL82" s="581"/>
      <c r="CM82" s="581"/>
      <c r="CN82" s="581"/>
      <c r="CO82" s="581"/>
      <c r="CP82" s="581"/>
      <c r="CQ82" s="581"/>
      <c r="CR82" s="581"/>
      <c r="CS82" s="581"/>
      <c r="CT82" s="581"/>
      <c r="CU82" s="581"/>
      <c r="CV82" s="581"/>
      <c r="CW82" s="581"/>
      <c r="CX82" s="581"/>
      <c r="CY82" s="581"/>
      <c r="CZ82" s="581"/>
      <c r="DA82" s="581"/>
      <c r="DB82" s="581"/>
      <c r="DC82" s="581"/>
      <c r="DD82" s="581"/>
      <c r="DE82" s="581"/>
      <c r="DF82" s="581"/>
      <c r="DG82" s="581"/>
      <c r="DH82" s="581"/>
      <c r="DI82" s="581"/>
      <c r="DJ82" s="581"/>
      <c r="DK82" s="581"/>
      <c r="DL82" s="581"/>
      <c r="DM82" s="581"/>
      <c r="DN82" s="581"/>
      <c r="DO82" s="581"/>
      <c r="DP82" s="581"/>
      <c r="DQ82" s="581"/>
      <c r="DR82" s="581"/>
      <c r="DS82" s="581"/>
      <c r="DT82" s="581"/>
      <c r="DU82" s="581"/>
      <c r="DV82" s="581"/>
      <c r="DW82" s="581"/>
      <c r="DX82" s="581"/>
      <c r="DY82" s="581"/>
      <c r="DZ82" s="581"/>
      <c r="EA82" s="581"/>
      <c r="EB82" s="581"/>
      <c r="EC82" s="581"/>
      <c r="ED82" s="581"/>
      <c r="EE82" s="581"/>
      <c r="EF82" s="581"/>
      <c r="EG82" s="581"/>
      <c r="EH82" s="581"/>
      <c r="EI82" s="581"/>
      <c r="EJ82" s="581"/>
    </row>
    <row r="83" spans="1:140" s="603" customFormat="1" ht="15.75">
      <c r="A83" s="600"/>
      <c r="B83" s="600"/>
      <c r="C83" s="600"/>
      <c r="D83" s="600"/>
      <c r="E83" s="600"/>
      <c r="F83" s="583"/>
      <c r="G83" s="584"/>
      <c r="H83" s="586"/>
      <c r="I83" s="586"/>
      <c r="J83" s="587"/>
      <c r="K83" s="606"/>
      <c r="L83" s="607"/>
      <c r="M83" s="590"/>
      <c r="N83" s="590"/>
      <c r="O83" s="591"/>
      <c r="P83" s="590"/>
      <c r="Q83" s="590"/>
      <c r="R83" s="590"/>
      <c r="S83" s="590"/>
      <c r="T83" s="590"/>
      <c r="U83" s="592"/>
      <c r="V83" s="590"/>
      <c r="W83" s="590"/>
      <c r="X83" s="590"/>
      <c r="Y83" s="590"/>
      <c r="Z83" s="593"/>
      <c r="AA83" s="590"/>
      <c r="AB83" s="590"/>
      <c r="AC83" s="590"/>
      <c r="AD83" s="590"/>
      <c r="AE83" s="593"/>
      <c r="AF83" s="599"/>
      <c r="AG83" s="758"/>
      <c r="AH83" s="760"/>
      <c r="AI83" s="759"/>
      <c r="AJ83" s="758"/>
      <c r="AK83" s="758"/>
      <c r="AL83" s="734"/>
      <c r="AM83" s="800"/>
      <c r="AN83" s="569"/>
      <c r="AO83" s="569"/>
      <c r="AP83" s="734"/>
      <c r="AQ83" s="575"/>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c r="BV83" s="569"/>
      <c r="BW83" s="569"/>
      <c r="BX83" s="569"/>
      <c r="BY83" s="569"/>
      <c r="BZ83" s="569"/>
      <c r="CA83" s="569"/>
      <c r="CB83" s="569"/>
      <c r="CC83" s="569"/>
      <c r="CD83" s="569"/>
      <c r="CE83" s="569"/>
      <c r="CF83" s="569"/>
      <c r="CG83" s="569"/>
      <c r="CH83" s="569"/>
      <c r="CI83" s="569"/>
      <c r="CJ83" s="569"/>
      <c r="CK83" s="569"/>
      <c r="CL83" s="569"/>
      <c r="CM83" s="569"/>
      <c r="CN83" s="569"/>
      <c r="CO83" s="569"/>
      <c r="CP83" s="569"/>
      <c r="CQ83" s="569"/>
      <c r="CR83" s="569"/>
      <c r="CS83" s="569"/>
      <c r="CT83" s="569"/>
      <c r="CU83" s="569"/>
      <c r="CV83" s="569"/>
      <c r="CW83" s="569"/>
      <c r="CX83" s="569"/>
      <c r="CY83" s="569"/>
      <c r="CZ83" s="569"/>
      <c r="DA83" s="569"/>
      <c r="DB83" s="569"/>
      <c r="DC83" s="569"/>
      <c r="DD83" s="569"/>
      <c r="DE83" s="569"/>
      <c r="DF83" s="569"/>
      <c r="DG83" s="569"/>
      <c r="DH83" s="569"/>
      <c r="DI83" s="569"/>
      <c r="DJ83" s="569"/>
      <c r="DK83" s="569"/>
      <c r="DL83" s="569"/>
      <c r="DM83" s="569"/>
      <c r="DN83" s="569"/>
      <c r="DO83" s="569"/>
      <c r="DP83" s="569"/>
      <c r="DQ83" s="569"/>
      <c r="DR83" s="569"/>
      <c r="DS83" s="569"/>
      <c r="DT83" s="569"/>
      <c r="DU83" s="569"/>
      <c r="DV83" s="569"/>
      <c r="DW83" s="569"/>
      <c r="DX83" s="569"/>
      <c r="DY83" s="569"/>
      <c r="DZ83" s="569"/>
      <c r="EA83" s="569"/>
      <c r="EB83" s="569"/>
      <c r="EC83" s="569"/>
      <c r="ED83" s="569"/>
      <c r="EE83" s="569"/>
      <c r="EF83" s="569"/>
      <c r="EG83" s="569"/>
      <c r="EH83" s="569"/>
      <c r="EI83" s="569"/>
      <c r="EJ83" s="569"/>
    </row>
    <row r="84" spans="1:140" s="603" customFormat="1" ht="15.75">
      <c r="A84" s="600"/>
      <c r="B84" s="600"/>
      <c r="C84" s="600"/>
      <c r="D84" s="600"/>
      <c r="E84" s="600"/>
      <c r="F84" s="583"/>
      <c r="G84" s="584"/>
      <c r="H84" s="586"/>
      <c r="I84" s="586"/>
      <c r="J84" s="587"/>
      <c r="K84" s="606"/>
      <c r="L84" s="607"/>
      <c r="M84" s="590"/>
      <c r="N84" s="590"/>
      <c r="O84" s="591"/>
      <c r="P84" s="590"/>
      <c r="Q84" s="590"/>
      <c r="R84" s="590"/>
      <c r="S84" s="590"/>
      <c r="T84" s="590"/>
      <c r="U84" s="592"/>
      <c r="V84" s="590"/>
      <c r="W84" s="590"/>
      <c r="X84" s="590"/>
      <c r="Y84" s="590"/>
      <c r="Z84" s="593"/>
      <c r="AA84" s="590"/>
      <c r="AB84" s="590"/>
      <c r="AC84" s="590"/>
      <c r="AD84" s="590"/>
      <c r="AE84" s="593"/>
      <c r="AF84" s="599"/>
      <c r="AG84" s="758"/>
      <c r="AH84" s="760"/>
      <c r="AI84" s="759"/>
      <c r="AJ84" s="758"/>
      <c r="AK84" s="754"/>
      <c r="AL84" s="734"/>
      <c r="AM84" s="800"/>
      <c r="AN84" s="569"/>
      <c r="AO84" s="569"/>
      <c r="AP84" s="734"/>
      <c r="AQ84" s="575"/>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69"/>
      <c r="BY84" s="569"/>
      <c r="BZ84" s="569"/>
      <c r="CA84" s="569"/>
      <c r="CB84" s="569"/>
      <c r="CC84" s="569"/>
      <c r="CD84" s="569"/>
      <c r="CE84" s="569"/>
      <c r="CF84" s="569"/>
      <c r="CG84" s="569"/>
      <c r="CH84" s="569"/>
      <c r="CI84" s="569"/>
      <c r="CJ84" s="569"/>
      <c r="CK84" s="569"/>
      <c r="CL84" s="569"/>
      <c r="CM84" s="569"/>
      <c r="CN84" s="569"/>
      <c r="CO84" s="569"/>
      <c r="CP84" s="569"/>
      <c r="CQ84" s="569"/>
      <c r="CR84" s="569"/>
      <c r="CS84" s="569"/>
      <c r="CT84" s="569"/>
      <c r="CU84" s="569"/>
      <c r="CV84" s="569"/>
      <c r="CW84" s="569"/>
      <c r="CX84" s="569"/>
      <c r="CY84" s="569"/>
      <c r="CZ84" s="569"/>
      <c r="DA84" s="569"/>
      <c r="DB84" s="569"/>
      <c r="DC84" s="569"/>
      <c r="DD84" s="569"/>
      <c r="DE84" s="569"/>
      <c r="DF84" s="569"/>
      <c r="DG84" s="569"/>
      <c r="DH84" s="569"/>
      <c r="DI84" s="569"/>
      <c r="DJ84" s="569"/>
      <c r="DK84" s="569"/>
      <c r="DL84" s="569"/>
      <c r="DM84" s="569"/>
      <c r="DN84" s="569"/>
      <c r="DO84" s="569"/>
      <c r="DP84" s="569"/>
      <c r="DQ84" s="569"/>
      <c r="DR84" s="569"/>
      <c r="DS84" s="569"/>
      <c r="DT84" s="569"/>
      <c r="DU84" s="569"/>
      <c r="DV84" s="569"/>
      <c r="DW84" s="569"/>
      <c r="DX84" s="569"/>
      <c r="DY84" s="569"/>
      <c r="DZ84" s="569"/>
      <c r="EA84" s="569"/>
      <c r="EB84" s="569"/>
      <c r="EC84" s="569"/>
      <c r="ED84" s="569"/>
      <c r="EE84" s="569"/>
      <c r="EF84" s="569"/>
      <c r="EG84" s="569"/>
      <c r="EH84" s="569"/>
      <c r="EI84" s="569"/>
      <c r="EJ84" s="569"/>
    </row>
    <row r="85" spans="1:140" s="603" customFormat="1" ht="30">
      <c r="A85" s="600" t="s">
        <v>1907</v>
      </c>
      <c r="B85" s="600"/>
      <c r="C85" s="600" t="s">
        <v>1908</v>
      </c>
      <c r="D85" s="600">
        <v>1</v>
      </c>
      <c r="E85" s="600"/>
      <c r="F85" s="583">
        <v>1500</v>
      </c>
      <c r="G85" s="584">
        <f>Number_of_Schools</f>
        <v>1247</v>
      </c>
      <c r="H85" s="586"/>
      <c r="I85" s="586"/>
      <c r="J85" s="587">
        <f>SUM(F85*G85)/K85</f>
        <v>187050</v>
      </c>
      <c r="K85" s="606">
        <v>10</v>
      </c>
      <c r="L85" s="607"/>
      <c r="M85" s="590"/>
      <c r="N85" s="590"/>
      <c r="O85" s="591"/>
      <c r="P85" s="590"/>
      <c r="Q85" s="590"/>
      <c r="R85" s="590"/>
      <c r="S85" s="590"/>
      <c r="T85" s="590"/>
      <c r="U85" s="592"/>
      <c r="V85" s="590"/>
      <c r="W85" s="590"/>
      <c r="X85" s="590"/>
      <c r="Y85" s="590"/>
      <c r="Z85" s="593"/>
      <c r="AA85" s="590"/>
      <c r="AB85" s="590"/>
      <c r="AC85" s="590"/>
      <c r="AD85" s="590"/>
      <c r="AE85" s="593"/>
      <c r="AF85" s="599"/>
      <c r="AG85" s="758"/>
      <c r="AH85" s="760"/>
      <c r="AI85" s="759"/>
      <c r="AJ85" s="758"/>
      <c r="AK85" s="758"/>
      <c r="AL85" s="734"/>
      <c r="AM85" s="800"/>
      <c r="AN85" s="569"/>
      <c r="AO85" s="569"/>
      <c r="AP85" s="734"/>
      <c r="AQ85" s="575"/>
      <c r="AR85" s="569"/>
      <c r="AS85" s="569"/>
      <c r="AT85" s="569"/>
      <c r="AU85" s="569"/>
      <c r="AV85" s="569"/>
      <c r="AW85" s="569"/>
      <c r="AX85" s="569"/>
      <c r="AY85" s="569"/>
      <c r="AZ85" s="569"/>
      <c r="BA85" s="569"/>
      <c r="BB85" s="569"/>
      <c r="BC85" s="569"/>
      <c r="BD85" s="569"/>
      <c r="BE85" s="569"/>
      <c r="BF85" s="569"/>
      <c r="BG85" s="569"/>
      <c r="BH85" s="569"/>
      <c r="BI85" s="569"/>
      <c r="BJ85" s="569"/>
      <c r="BK85" s="569"/>
      <c r="BL85" s="569"/>
      <c r="BM85" s="569"/>
      <c r="BN85" s="569"/>
      <c r="BO85" s="569"/>
      <c r="BP85" s="569"/>
      <c r="BQ85" s="569"/>
      <c r="BR85" s="569"/>
      <c r="BS85" s="569"/>
      <c r="BT85" s="569"/>
      <c r="BU85" s="569"/>
      <c r="BV85" s="569"/>
      <c r="BW85" s="569"/>
      <c r="BX85" s="569"/>
      <c r="BY85" s="569"/>
      <c r="BZ85" s="569"/>
      <c r="CA85" s="569"/>
      <c r="CB85" s="569"/>
      <c r="CC85" s="569"/>
      <c r="CD85" s="569"/>
      <c r="CE85" s="569"/>
      <c r="CF85" s="569"/>
      <c r="CG85" s="569"/>
      <c r="CH85" s="569"/>
      <c r="CI85" s="569"/>
      <c r="CJ85" s="569"/>
      <c r="CK85" s="569"/>
      <c r="CL85" s="569"/>
      <c r="CM85" s="569"/>
      <c r="CN85" s="569"/>
      <c r="CO85" s="569"/>
      <c r="CP85" s="569"/>
      <c r="CQ85" s="569"/>
      <c r="CR85" s="569"/>
      <c r="CS85" s="569"/>
      <c r="CT85" s="569"/>
      <c r="CU85" s="569"/>
      <c r="CV85" s="569"/>
      <c r="CW85" s="569"/>
      <c r="CX85" s="569"/>
      <c r="CY85" s="569"/>
      <c r="CZ85" s="569"/>
      <c r="DA85" s="569"/>
      <c r="DB85" s="569"/>
      <c r="DC85" s="569"/>
      <c r="DD85" s="569"/>
      <c r="DE85" s="569"/>
      <c r="DF85" s="569"/>
      <c r="DG85" s="569"/>
      <c r="DH85" s="569"/>
      <c r="DI85" s="569"/>
      <c r="DJ85" s="569"/>
      <c r="DK85" s="569"/>
      <c r="DL85" s="569"/>
      <c r="DM85" s="569"/>
      <c r="DN85" s="569"/>
      <c r="DO85" s="569"/>
      <c r="DP85" s="569"/>
      <c r="DQ85" s="569"/>
      <c r="DR85" s="569"/>
      <c r="DS85" s="569"/>
      <c r="DT85" s="569"/>
      <c r="DU85" s="569"/>
      <c r="DV85" s="569"/>
      <c r="DW85" s="569"/>
      <c r="DX85" s="569"/>
      <c r="DY85" s="569"/>
      <c r="DZ85" s="569"/>
      <c r="EA85" s="569"/>
      <c r="EB85" s="569"/>
      <c r="EC85" s="569"/>
      <c r="ED85" s="569"/>
      <c r="EE85" s="569"/>
      <c r="EF85" s="569"/>
      <c r="EG85" s="569"/>
      <c r="EH85" s="569"/>
      <c r="EI85" s="569"/>
      <c r="EJ85" s="569"/>
    </row>
    <row r="86" spans="1:140" s="603" customFormat="1" ht="15.75">
      <c r="A86" s="600"/>
      <c r="B86" s="600"/>
      <c r="C86" s="600"/>
      <c r="D86" s="600"/>
      <c r="E86" s="600"/>
      <c r="F86" s="583"/>
      <c r="G86" s="584"/>
      <c r="H86" s="586"/>
      <c r="I86" s="586"/>
      <c r="J86" s="587"/>
      <c r="K86" s="606"/>
      <c r="L86" s="607"/>
      <c r="M86" s="590"/>
      <c r="N86" s="590"/>
      <c r="O86" s="591"/>
      <c r="P86" s="590"/>
      <c r="Q86" s="590"/>
      <c r="R86" s="590"/>
      <c r="S86" s="590"/>
      <c r="T86" s="590"/>
      <c r="U86" s="592"/>
      <c r="V86" s="590"/>
      <c r="W86" s="590"/>
      <c r="X86" s="590"/>
      <c r="Y86" s="590"/>
      <c r="Z86" s="593"/>
      <c r="AA86" s="590"/>
      <c r="AB86" s="590"/>
      <c r="AC86" s="590"/>
      <c r="AD86" s="590"/>
      <c r="AE86" s="593"/>
      <c r="AF86" s="599"/>
      <c r="AG86" s="758"/>
      <c r="AH86" s="760"/>
      <c r="AI86" s="759"/>
      <c r="AJ86" s="758"/>
      <c r="AK86" s="758"/>
      <c r="AL86" s="734"/>
      <c r="AM86" s="800"/>
      <c r="AN86" s="569"/>
      <c r="AO86" s="569"/>
      <c r="AP86" s="734"/>
      <c r="AQ86" s="575"/>
      <c r="AR86" s="569"/>
      <c r="AS86" s="569"/>
      <c r="AT86" s="569"/>
      <c r="AU86" s="569"/>
      <c r="AV86" s="569"/>
      <c r="AW86" s="569"/>
      <c r="AX86" s="569"/>
      <c r="AY86" s="569"/>
      <c r="AZ86" s="569"/>
      <c r="BA86" s="569"/>
      <c r="BB86" s="569"/>
      <c r="BC86" s="569"/>
      <c r="BD86" s="569"/>
      <c r="BE86" s="569"/>
      <c r="BF86" s="569"/>
      <c r="BG86" s="569"/>
      <c r="BH86" s="569"/>
      <c r="BI86" s="569"/>
      <c r="BJ86" s="569"/>
      <c r="BK86" s="569"/>
      <c r="BL86" s="569"/>
      <c r="BM86" s="569"/>
      <c r="BN86" s="569"/>
      <c r="BO86" s="569"/>
      <c r="BP86" s="569"/>
      <c r="BQ86" s="569"/>
      <c r="BR86" s="569"/>
      <c r="BS86" s="569"/>
      <c r="BT86" s="569"/>
      <c r="BU86" s="569"/>
      <c r="BV86" s="569"/>
      <c r="BW86" s="569"/>
      <c r="BX86" s="569"/>
      <c r="BY86" s="569"/>
      <c r="BZ86" s="569"/>
      <c r="CA86" s="569"/>
      <c r="CB86" s="569"/>
      <c r="CC86" s="569"/>
      <c r="CD86" s="569"/>
      <c r="CE86" s="569"/>
      <c r="CF86" s="569"/>
      <c r="CG86" s="569"/>
      <c r="CH86" s="569"/>
      <c r="CI86" s="569"/>
      <c r="CJ86" s="569"/>
      <c r="CK86" s="569"/>
      <c r="CL86" s="569"/>
      <c r="CM86" s="569"/>
      <c r="CN86" s="569"/>
      <c r="CO86" s="569"/>
      <c r="CP86" s="569"/>
      <c r="CQ86" s="569"/>
      <c r="CR86" s="569"/>
      <c r="CS86" s="569"/>
      <c r="CT86" s="569"/>
      <c r="CU86" s="569"/>
      <c r="CV86" s="569"/>
      <c r="CW86" s="569"/>
      <c r="CX86" s="569"/>
      <c r="CY86" s="569"/>
      <c r="CZ86" s="569"/>
      <c r="DA86" s="569"/>
      <c r="DB86" s="569"/>
      <c r="DC86" s="569"/>
      <c r="DD86" s="569"/>
      <c r="DE86" s="569"/>
      <c r="DF86" s="569"/>
      <c r="DG86" s="569"/>
      <c r="DH86" s="569"/>
      <c r="DI86" s="569"/>
      <c r="DJ86" s="569"/>
      <c r="DK86" s="569"/>
      <c r="DL86" s="569"/>
      <c r="DM86" s="569"/>
      <c r="DN86" s="569"/>
      <c r="DO86" s="569"/>
      <c r="DP86" s="569"/>
      <c r="DQ86" s="569"/>
      <c r="DR86" s="569"/>
      <c r="DS86" s="569"/>
      <c r="DT86" s="569"/>
      <c r="DU86" s="569"/>
      <c r="DV86" s="569"/>
      <c r="DW86" s="569"/>
      <c r="DX86" s="569"/>
      <c r="DY86" s="569"/>
      <c r="DZ86" s="569"/>
      <c r="EA86" s="569"/>
      <c r="EB86" s="569"/>
      <c r="EC86" s="569"/>
      <c r="ED86" s="569"/>
      <c r="EE86" s="569"/>
      <c r="EF86" s="569"/>
      <c r="EG86" s="569"/>
      <c r="EH86" s="569"/>
      <c r="EI86" s="569"/>
      <c r="EJ86" s="569"/>
    </row>
    <row r="87" spans="1:140" s="603" customFormat="1" ht="15.75">
      <c r="A87" s="600"/>
      <c r="B87" s="600"/>
      <c r="C87" s="600"/>
      <c r="D87" s="600"/>
      <c r="E87" s="600"/>
      <c r="F87" s="583"/>
      <c r="G87" s="584"/>
      <c r="H87" s="586"/>
      <c r="I87" s="586"/>
      <c r="J87" s="587"/>
      <c r="K87" s="606"/>
      <c r="L87" s="607"/>
      <c r="M87" s="590"/>
      <c r="N87" s="590"/>
      <c r="O87" s="591"/>
      <c r="P87" s="590"/>
      <c r="Q87" s="590"/>
      <c r="R87" s="590"/>
      <c r="S87" s="590"/>
      <c r="T87" s="590"/>
      <c r="U87" s="592"/>
      <c r="V87" s="590"/>
      <c r="W87" s="590"/>
      <c r="X87" s="590"/>
      <c r="Y87" s="590"/>
      <c r="Z87" s="593"/>
      <c r="AA87" s="590"/>
      <c r="AB87" s="590"/>
      <c r="AC87" s="590"/>
      <c r="AD87" s="590"/>
      <c r="AE87" s="593"/>
      <c r="AF87" s="599"/>
      <c r="AG87" s="758"/>
      <c r="AH87" s="758"/>
      <c r="AI87" s="759"/>
      <c r="AJ87" s="758"/>
      <c r="AK87" s="758"/>
      <c r="AL87" s="734"/>
      <c r="AM87" s="800"/>
      <c r="AN87" s="569"/>
      <c r="AO87" s="569"/>
      <c r="AP87" s="734"/>
      <c r="AQ87" s="575"/>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69"/>
      <c r="BY87" s="569"/>
      <c r="BZ87" s="569"/>
      <c r="CA87" s="569"/>
      <c r="CB87" s="569"/>
      <c r="CC87" s="569"/>
      <c r="CD87" s="569"/>
      <c r="CE87" s="569"/>
      <c r="CF87" s="569"/>
      <c r="CG87" s="569"/>
      <c r="CH87" s="569"/>
      <c r="CI87" s="569"/>
      <c r="CJ87" s="569"/>
      <c r="CK87" s="569"/>
      <c r="CL87" s="569"/>
      <c r="CM87" s="569"/>
      <c r="CN87" s="569"/>
      <c r="CO87" s="569"/>
      <c r="CP87" s="569"/>
      <c r="CQ87" s="569"/>
      <c r="CR87" s="569"/>
      <c r="CS87" s="569"/>
      <c r="CT87" s="569"/>
      <c r="CU87" s="569"/>
      <c r="CV87" s="569"/>
      <c r="CW87" s="569"/>
      <c r="CX87" s="569"/>
      <c r="CY87" s="569"/>
      <c r="CZ87" s="569"/>
      <c r="DA87" s="569"/>
      <c r="DB87" s="569"/>
      <c r="DC87" s="569"/>
      <c r="DD87" s="569"/>
      <c r="DE87" s="569"/>
      <c r="DF87" s="569"/>
      <c r="DG87" s="569"/>
      <c r="DH87" s="569"/>
      <c r="DI87" s="569"/>
      <c r="DJ87" s="569"/>
      <c r="DK87" s="569"/>
      <c r="DL87" s="569"/>
      <c r="DM87" s="569"/>
      <c r="DN87" s="569"/>
      <c r="DO87" s="569"/>
      <c r="DP87" s="569"/>
      <c r="DQ87" s="569"/>
      <c r="DR87" s="569"/>
      <c r="DS87" s="569"/>
      <c r="DT87" s="569"/>
      <c r="DU87" s="569"/>
      <c r="DV87" s="569"/>
      <c r="DW87" s="569"/>
      <c r="DX87" s="569"/>
      <c r="DY87" s="569"/>
      <c r="DZ87" s="569"/>
      <c r="EA87" s="569"/>
      <c r="EB87" s="569"/>
      <c r="EC87" s="569"/>
      <c r="ED87" s="569"/>
      <c r="EE87" s="569"/>
      <c r="EF87" s="569"/>
      <c r="EG87" s="569"/>
      <c r="EH87" s="569"/>
      <c r="EI87" s="569"/>
      <c r="EJ87" s="569"/>
    </row>
    <row r="88" spans="1:140" ht="75">
      <c r="A88" s="600" t="s">
        <v>882</v>
      </c>
      <c r="B88" s="763" t="s">
        <v>692</v>
      </c>
      <c r="C88" s="842" t="s">
        <v>777</v>
      </c>
      <c r="D88" s="600">
        <v>1</v>
      </c>
      <c r="E88" s="600" t="s">
        <v>685</v>
      </c>
      <c r="F88" s="645">
        <v>2000</v>
      </c>
      <c r="G88" s="584">
        <v>206</v>
      </c>
      <c r="H88" s="643"/>
      <c r="I88" s="586"/>
      <c r="J88" s="587">
        <f>SUM(F88*G88)/K88</f>
        <v>41200</v>
      </c>
      <c r="K88" s="606">
        <v>10</v>
      </c>
      <c r="L88" s="607"/>
      <c r="M88" s="590"/>
      <c r="N88" s="590"/>
      <c r="O88" s="591"/>
      <c r="P88" s="590"/>
      <c r="Q88" s="590"/>
      <c r="R88" s="590"/>
      <c r="S88" s="590"/>
      <c r="T88" s="590"/>
      <c r="U88" s="608"/>
      <c r="V88" s="590"/>
      <c r="W88" s="590"/>
      <c r="X88" s="590"/>
      <c r="Y88" s="590"/>
      <c r="Z88" s="593"/>
      <c r="AA88" s="590"/>
      <c r="AB88" s="590"/>
      <c r="AC88" s="590"/>
      <c r="AD88" s="590"/>
      <c r="AE88" s="593"/>
      <c r="AG88" s="578"/>
      <c r="AH88" s="578"/>
      <c r="AI88" s="578"/>
      <c r="AJ88" s="578"/>
      <c r="AK88" s="578"/>
      <c r="AL88" s="579"/>
      <c r="AM88" s="580"/>
      <c r="AN88" s="581"/>
      <c r="AO88" s="581"/>
      <c r="AP88" s="579"/>
      <c r="AQ88" s="582"/>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c r="BW88" s="581"/>
      <c r="BX88" s="581"/>
      <c r="BY88" s="581"/>
      <c r="BZ88" s="581"/>
      <c r="CA88" s="581"/>
      <c r="CB88" s="581"/>
      <c r="CC88" s="581"/>
      <c r="CD88" s="581"/>
      <c r="CE88" s="581"/>
      <c r="CF88" s="581"/>
      <c r="CG88" s="581"/>
      <c r="CH88" s="581"/>
      <c r="CI88" s="581"/>
      <c r="CJ88" s="581"/>
      <c r="CK88" s="581"/>
      <c r="CL88" s="581"/>
      <c r="CM88" s="581"/>
      <c r="CN88" s="581"/>
      <c r="CO88" s="581"/>
      <c r="CP88" s="581"/>
      <c r="CQ88" s="581"/>
      <c r="CR88" s="581"/>
      <c r="CS88" s="581"/>
      <c r="CT88" s="581"/>
      <c r="CU88" s="581"/>
      <c r="CV88" s="581"/>
      <c r="CW88" s="581"/>
      <c r="CX88" s="581"/>
      <c r="CY88" s="581"/>
      <c r="CZ88" s="581"/>
      <c r="DA88" s="581"/>
      <c r="DB88" s="581"/>
      <c r="DC88" s="581"/>
      <c r="DD88" s="581"/>
      <c r="DE88" s="581"/>
      <c r="DF88" s="581"/>
      <c r="DG88" s="581"/>
      <c r="DH88" s="581"/>
      <c r="DI88" s="581"/>
      <c r="DJ88" s="581"/>
      <c r="DK88" s="581"/>
      <c r="DL88" s="581"/>
      <c r="DM88" s="581"/>
      <c r="DN88" s="581"/>
      <c r="DO88" s="581"/>
      <c r="DP88" s="581"/>
      <c r="DQ88" s="581"/>
      <c r="DR88" s="581"/>
      <c r="DS88" s="581"/>
      <c r="DT88" s="581"/>
      <c r="DU88" s="581"/>
      <c r="DV88" s="581"/>
      <c r="DW88" s="581"/>
      <c r="DX88" s="581"/>
      <c r="DY88" s="581"/>
      <c r="DZ88" s="581"/>
      <c r="EA88" s="581"/>
      <c r="EB88" s="581"/>
      <c r="EC88" s="581"/>
      <c r="ED88" s="581"/>
      <c r="EE88" s="581"/>
      <c r="EF88" s="581"/>
      <c r="EG88" s="581"/>
      <c r="EH88" s="581"/>
      <c r="EI88" s="581"/>
      <c r="EJ88" s="581"/>
    </row>
    <row r="89" spans="1:140" ht="15">
      <c r="A89" s="595" t="s">
        <v>865</v>
      </c>
      <c r="B89" s="600"/>
      <c r="C89" s="600"/>
      <c r="D89" s="600"/>
      <c r="F89" s="647"/>
      <c r="G89" s="648"/>
      <c r="H89" s="649"/>
      <c r="J89" s="619"/>
      <c r="K89" s="651"/>
      <c r="L89" s="652"/>
      <c r="U89" s="654"/>
      <c r="V89" s="653"/>
      <c r="W89" s="653"/>
      <c r="X89" s="653"/>
      <c r="Y89" s="653"/>
      <c r="Z89" s="655"/>
      <c r="AA89" s="653"/>
      <c r="AB89" s="653"/>
      <c r="AC89" s="653"/>
      <c r="AD89" s="653"/>
      <c r="AE89" s="655"/>
      <c r="AG89" s="578"/>
      <c r="AH89" s="578"/>
      <c r="AI89" s="578"/>
      <c r="AJ89" s="578"/>
      <c r="AK89" s="578"/>
      <c r="AL89" s="579"/>
      <c r="AM89" s="580"/>
      <c r="AN89" s="581"/>
      <c r="AO89" s="581"/>
      <c r="AP89" s="579"/>
      <c r="AQ89" s="582"/>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c r="BW89" s="581"/>
      <c r="BX89" s="581"/>
      <c r="BY89" s="581"/>
      <c r="BZ89" s="581"/>
      <c r="CA89" s="581"/>
      <c r="CB89" s="581"/>
      <c r="CC89" s="581"/>
      <c r="CD89" s="581"/>
      <c r="CE89" s="581"/>
      <c r="CF89" s="581"/>
      <c r="CG89" s="581"/>
      <c r="CH89" s="581"/>
      <c r="CI89" s="581"/>
      <c r="CJ89" s="581"/>
      <c r="CK89" s="581"/>
      <c r="CL89" s="581"/>
      <c r="CM89" s="581"/>
      <c r="CN89" s="581"/>
      <c r="CO89" s="581"/>
      <c r="CP89" s="581"/>
      <c r="CQ89" s="581"/>
      <c r="CR89" s="581"/>
      <c r="CS89" s="581"/>
      <c r="CT89" s="581"/>
      <c r="CU89" s="581"/>
      <c r="CV89" s="581"/>
      <c r="CW89" s="581"/>
      <c r="CX89" s="581"/>
      <c r="CY89" s="581"/>
      <c r="CZ89" s="581"/>
      <c r="DA89" s="581"/>
      <c r="DB89" s="581"/>
      <c r="DC89" s="581"/>
      <c r="DD89" s="581"/>
      <c r="DE89" s="581"/>
      <c r="DF89" s="581"/>
      <c r="DG89" s="581"/>
      <c r="DH89" s="581"/>
      <c r="DI89" s="581"/>
      <c r="DJ89" s="581"/>
      <c r="DK89" s="581"/>
      <c r="DL89" s="581"/>
      <c r="DM89" s="581"/>
      <c r="DN89" s="581"/>
      <c r="DO89" s="581"/>
      <c r="DP89" s="581"/>
      <c r="DQ89" s="581"/>
      <c r="DR89" s="581"/>
      <c r="DS89" s="581"/>
      <c r="DT89" s="581"/>
      <c r="DU89" s="581"/>
      <c r="DV89" s="581"/>
      <c r="DW89" s="581"/>
      <c r="DX89" s="581"/>
      <c r="DY89" s="581"/>
      <c r="DZ89" s="581"/>
      <c r="EA89" s="581"/>
      <c r="EB89" s="581"/>
      <c r="EC89" s="581"/>
      <c r="ED89" s="581"/>
      <c r="EE89" s="581"/>
      <c r="EF89" s="581"/>
      <c r="EG89" s="581"/>
      <c r="EH89" s="581"/>
      <c r="EI89" s="581"/>
      <c r="EJ89" s="581"/>
    </row>
    <row r="90" spans="1:140" s="603" customFormat="1" ht="15.75">
      <c r="A90" s="600"/>
      <c r="B90" s="600"/>
      <c r="C90" s="600"/>
      <c r="D90" s="600"/>
      <c r="E90" s="600"/>
      <c r="F90" s="645"/>
      <c r="G90" s="584"/>
      <c r="H90" s="646"/>
      <c r="I90" s="586"/>
      <c r="J90" s="587"/>
      <c r="K90" s="606"/>
      <c r="L90" s="607"/>
      <c r="M90" s="590"/>
      <c r="N90" s="590"/>
      <c r="O90" s="591"/>
      <c r="P90" s="590"/>
      <c r="Q90" s="590"/>
      <c r="R90" s="590"/>
      <c r="S90" s="590"/>
      <c r="T90" s="590"/>
      <c r="U90" s="608"/>
      <c r="V90" s="590"/>
      <c r="W90" s="590"/>
      <c r="X90" s="590"/>
      <c r="Y90" s="590"/>
      <c r="Z90" s="593"/>
      <c r="AA90" s="590"/>
      <c r="AB90" s="590"/>
      <c r="AC90" s="590"/>
      <c r="AD90" s="590"/>
      <c r="AE90" s="593"/>
      <c r="AF90" s="599"/>
      <c r="AG90" s="758"/>
      <c r="AH90" s="760"/>
      <c r="AI90" s="759"/>
      <c r="AJ90" s="758"/>
      <c r="AK90" s="754"/>
      <c r="AL90" s="734"/>
      <c r="AM90" s="800"/>
      <c r="AN90" s="569"/>
      <c r="AO90" s="569"/>
      <c r="AP90" s="734"/>
      <c r="AQ90" s="575"/>
      <c r="AR90" s="569"/>
      <c r="AS90" s="569"/>
      <c r="AT90" s="569"/>
      <c r="AU90" s="569"/>
      <c r="AV90" s="569"/>
      <c r="AW90" s="569"/>
      <c r="AX90" s="569"/>
      <c r="AY90" s="569"/>
      <c r="AZ90" s="569"/>
      <c r="BA90" s="569"/>
      <c r="BB90" s="569"/>
      <c r="BC90" s="569"/>
      <c r="BD90" s="569"/>
      <c r="BE90" s="569"/>
      <c r="BF90" s="569"/>
      <c r="BG90" s="569"/>
      <c r="BH90" s="569"/>
      <c r="BI90" s="569"/>
      <c r="BJ90" s="569"/>
      <c r="BK90" s="569"/>
      <c r="BL90" s="569"/>
      <c r="BM90" s="569"/>
      <c r="BN90" s="569"/>
      <c r="BO90" s="569"/>
      <c r="BP90" s="569"/>
      <c r="BQ90" s="569"/>
      <c r="BR90" s="569"/>
      <c r="BS90" s="569"/>
      <c r="BT90" s="569"/>
      <c r="BU90" s="569"/>
      <c r="BV90" s="569"/>
      <c r="BW90" s="569"/>
      <c r="BX90" s="569"/>
      <c r="BY90" s="569"/>
      <c r="BZ90" s="569"/>
      <c r="CA90" s="569"/>
      <c r="CB90" s="569"/>
      <c r="CC90" s="569"/>
      <c r="CD90" s="569"/>
      <c r="CE90" s="569"/>
      <c r="CF90" s="569"/>
      <c r="CG90" s="569"/>
      <c r="CH90" s="569"/>
      <c r="CI90" s="569"/>
      <c r="CJ90" s="569"/>
      <c r="CK90" s="569"/>
      <c r="CL90" s="569"/>
      <c r="CM90" s="569"/>
      <c r="CN90" s="569"/>
      <c r="CO90" s="569"/>
      <c r="CP90" s="569"/>
      <c r="CQ90" s="569"/>
      <c r="CR90" s="569"/>
      <c r="CS90" s="569"/>
      <c r="CT90" s="569"/>
      <c r="CU90" s="569"/>
      <c r="CV90" s="569"/>
      <c r="CW90" s="569"/>
      <c r="CX90" s="569"/>
      <c r="CY90" s="569"/>
      <c r="CZ90" s="569"/>
      <c r="DA90" s="569"/>
      <c r="DB90" s="569"/>
      <c r="DC90" s="569"/>
      <c r="DD90" s="569"/>
      <c r="DE90" s="569"/>
      <c r="DF90" s="569"/>
      <c r="DG90" s="569"/>
      <c r="DH90" s="569"/>
      <c r="DI90" s="569"/>
      <c r="DJ90" s="569"/>
      <c r="DK90" s="569"/>
      <c r="DL90" s="569"/>
      <c r="DM90" s="569"/>
      <c r="DN90" s="569"/>
      <c r="DO90" s="569"/>
      <c r="DP90" s="569"/>
      <c r="DQ90" s="569"/>
      <c r="DR90" s="569"/>
      <c r="DS90" s="569"/>
      <c r="DT90" s="569"/>
      <c r="DU90" s="569"/>
      <c r="DV90" s="569"/>
      <c r="DW90" s="569"/>
      <c r="DX90" s="569"/>
      <c r="DY90" s="569"/>
      <c r="DZ90" s="569"/>
      <c r="EA90" s="569"/>
      <c r="EB90" s="569"/>
      <c r="EC90" s="569"/>
      <c r="ED90" s="569"/>
      <c r="EE90" s="569"/>
      <c r="EF90" s="569"/>
      <c r="EG90" s="569"/>
      <c r="EH90" s="569"/>
      <c r="EI90" s="569"/>
      <c r="EJ90" s="569"/>
    </row>
    <row r="91" spans="1:140" ht="75">
      <c r="A91" s="600" t="s">
        <v>883</v>
      </c>
      <c r="B91" s="763" t="s">
        <v>778</v>
      </c>
      <c r="C91" s="842" t="s">
        <v>777</v>
      </c>
      <c r="D91" s="600">
        <v>1</v>
      </c>
      <c r="E91" s="600" t="s">
        <v>691</v>
      </c>
      <c r="F91" s="645">
        <v>500</v>
      </c>
      <c r="G91" s="584">
        <v>892</v>
      </c>
      <c r="H91" s="643"/>
      <c r="I91" s="586"/>
      <c r="J91" s="587">
        <f>SUM(F91*G91)/K91</f>
        <v>44600</v>
      </c>
      <c r="K91" s="606">
        <v>10</v>
      </c>
      <c r="L91" s="607"/>
      <c r="M91" s="590"/>
      <c r="N91" s="590"/>
      <c r="O91" s="591"/>
      <c r="P91" s="590"/>
      <c r="Q91" s="590"/>
      <c r="R91" s="590"/>
      <c r="S91" s="590"/>
      <c r="T91" s="590"/>
      <c r="U91" s="608"/>
      <c r="V91" s="590"/>
      <c r="W91" s="590"/>
      <c r="X91" s="590"/>
      <c r="Y91" s="590"/>
      <c r="Z91" s="593"/>
      <c r="AA91" s="590"/>
      <c r="AB91" s="590"/>
      <c r="AC91" s="590"/>
      <c r="AD91" s="590"/>
      <c r="AE91" s="593"/>
      <c r="AG91" s="578"/>
      <c r="AH91" s="578"/>
      <c r="AI91" s="578"/>
      <c r="AJ91" s="578"/>
      <c r="AK91" s="578"/>
      <c r="AL91" s="579"/>
      <c r="AM91" s="580"/>
      <c r="AN91" s="581"/>
      <c r="AO91" s="581"/>
      <c r="AP91" s="579"/>
      <c r="AQ91" s="582"/>
      <c r="AR91" s="581"/>
      <c r="AS91" s="581"/>
      <c r="AT91" s="581"/>
      <c r="AU91" s="581"/>
      <c r="AV91" s="581"/>
      <c r="AW91" s="581"/>
      <c r="AX91" s="581"/>
      <c r="AY91" s="581"/>
      <c r="AZ91" s="581"/>
      <c r="BA91" s="581"/>
      <c r="BB91" s="581"/>
      <c r="BC91" s="581"/>
      <c r="BD91" s="581"/>
      <c r="BE91" s="581"/>
      <c r="BF91" s="581"/>
      <c r="BG91" s="581"/>
      <c r="BH91" s="581"/>
      <c r="BI91" s="581"/>
      <c r="BJ91" s="581"/>
      <c r="BK91" s="581"/>
      <c r="BL91" s="581"/>
      <c r="BM91" s="581"/>
      <c r="BN91" s="581"/>
      <c r="BO91" s="581"/>
      <c r="BP91" s="581"/>
      <c r="BQ91" s="581"/>
      <c r="BR91" s="581"/>
      <c r="BS91" s="581"/>
      <c r="BT91" s="581"/>
      <c r="BU91" s="581"/>
      <c r="BV91" s="581"/>
      <c r="BW91" s="581"/>
      <c r="BX91" s="581"/>
      <c r="BY91" s="581"/>
      <c r="BZ91" s="581"/>
      <c r="CA91" s="581"/>
      <c r="CB91" s="581"/>
      <c r="CC91" s="581"/>
      <c r="CD91" s="581"/>
      <c r="CE91" s="581"/>
      <c r="CF91" s="581"/>
      <c r="CG91" s="581"/>
      <c r="CH91" s="581"/>
      <c r="CI91" s="581"/>
      <c r="CJ91" s="581"/>
      <c r="CK91" s="581"/>
      <c r="CL91" s="581"/>
      <c r="CM91" s="581"/>
      <c r="CN91" s="581"/>
      <c r="CO91" s="581"/>
      <c r="CP91" s="581"/>
      <c r="CQ91" s="581"/>
      <c r="CR91" s="581"/>
      <c r="CS91" s="581"/>
      <c r="CT91" s="581"/>
      <c r="CU91" s="581"/>
      <c r="CV91" s="581"/>
      <c r="CW91" s="581"/>
      <c r="CX91" s="581"/>
      <c r="CY91" s="581"/>
      <c r="CZ91" s="581"/>
      <c r="DA91" s="581"/>
      <c r="DB91" s="581"/>
      <c r="DC91" s="581"/>
      <c r="DD91" s="581"/>
      <c r="DE91" s="581"/>
      <c r="DF91" s="581"/>
      <c r="DG91" s="581"/>
      <c r="DH91" s="581"/>
      <c r="DI91" s="581"/>
      <c r="DJ91" s="581"/>
      <c r="DK91" s="581"/>
      <c r="DL91" s="581"/>
      <c r="DM91" s="581"/>
      <c r="DN91" s="581"/>
      <c r="DO91" s="581"/>
      <c r="DP91" s="581"/>
      <c r="DQ91" s="581"/>
      <c r="DR91" s="581"/>
      <c r="DS91" s="581"/>
      <c r="DT91" s="581"/>
      <c r="DU91" s="581"/>
      <c r="DV91" s="581"/>
      <c r="DW91" s="581"/>
      <c r="DX91" s="581"/>
      <c r="DY91" s="581"/>
      <c r="DZ91" s="581"/>
      <c r="EA91" s="581"/>
      <c r="EB91" s="581"/>
      <c r="EC91" s="581"/>
      <c r="ED91" s="581"/>
      <c r="EE91" s="581"/>
      <c r="EF91" s="581"/>
      <c r="EG91" s="581"/>
      <c r="EH91" s="581"/>
      <c r="EI91" s="581"/>
      <c r="EJ91" s="581"/>
    </row>
    <row r="92" spans="1:140" ht="15">
      <c r="A92" s="595" t="s">
        <v>867</v>
      </c>
      <c r="B92" s="600"/>
      <c r="C92" s="600"/>
      <c r="D92" s="600"/>
      <c r="F92" s="647"/>
      <c r="G92" s="648"/>
      <c r="H92" s="649"/>
      <c r="J92" s="619"/>
      <c r="K92" s="651"/>
      <c r="L92" s="652"/>
      <c r="U92" s="654"/>
      <c r="V92" s="653"/>
      <c r="W92" s="653"/>
      <c r="X92" s="653"/>
      <c r="Y92" s="653"/>
      <c r="Z92" s="655"/>
      <c r="AA92" s="653"/>
      <c r="AB92" s="653"/>
      <c r="AC92" s="653"/>
      <c r="AD92" s="653"/>
      <c r="AE92" s="655"/>
      <c r="AG92" s="578"/>
      <c r="AH92" s="578"/>
      <c r="AI92" s="578"/>
      <c r="AJ92" s="578"/>
      <c r="AK92" s="578"/>
      <c r="AL92" s="579"/>
      <c r="AM92" s="580"/>
      <c r="AN92" s="581"/>
      <c r="AO92" s="581"/>
      <c r="AP92" s="579"/>
      <c r="AQ92" s="582"/>
      <c r="AR92" s="581"/>
      <c r="AS92" s="581"/>
      <c r="AT92" s="581"/>
      <c r="AU92" s="581"/>
      <c r="AV92" s="581"/>
      <c r="AW92" s="581"/>
      <c r="AX92" s="581"/>
      <c r="AY92" s="581"/>
      <c r="AZ92" s="581"/>
      <c r="BA92" s="581"/>
      <c r="BB92" s="581"/>
      <c r="BC92" s="581"/>
      <c r="BD92" s="581"/>
      <c r="BE92" s="581"/>
      <c r="BF92" s="581"/>
      <c r="BG92" s="581"/>
      <c r="BH92" s="581"/>
      <c r="BI92" s="581"/>
      <c r="BJ92" s="581"/>
      <c r="BK92" s="581"/>
      <c r="BL92" s="581"/>
      <c r="BM92" s="581"/>
      <c r="BN92" s="581"/>
      <c r="BO92" s="581"/>
      <c r="BP92" s="581"/>
      <c r="BQ92" s="581"/>
      <c r="BR92" s="581"/>
      <c r="BS92" s="581"/>
      <c r="BT92" s="581"/>
      <c r="BU92" s="581"/>
      <c r="BV92" s="581"/>
      <c r="BW92" s="581"/>
      <c r="BX92" s="581"/>
      <c r="BY92" s="581"/>
      <c r="BZ92" s="581"/>
      <c r="CA92" s="581"/>
      <c r="CB92" s="581"/>
      <c r="CC92" s="581"/>
      <c r="CD92" s="581"/>
      <c r="CE92" s="581"/>
      <c r="CF92" s="581"/>
      <c r="CG92" s="581"/>
      <c r="CH92" s="581"/>
      <c r="CI92" s="581"/>
      <c r="CJ92" s="581"/>
      <c r="CK92" s="581"/>
      <c r="CL92" s="581"/>
      <c r="CM92" s="581"/>
      <c r="CN92" s="581"/>
      <c r="CO92" s="581"/>
      <c r="CP92" s="581"/>
      <c r="CQ92" s="581"/>
      <c r="CR92" s="581"/>
      <c r="CS92" s="581"/>
      <c r="CT92" s="581"/>
      <c r="CU92" s="581"/>
      <c r="CV92" s="581"/>
      <c r="CW92" s="581"/>
      <c r="CX92" s="581"/>
      <c r="CY92" s="581"/>
      <c r="CZ92" s="581"/>
      <c r="DA92" s="581"/>
      <c r="DB92" s="581"/>
      <c r="DC92" s="581"/>
      <c r="DD92" s="581"/>
      <c r="DE92" s="581"/>
      <c r="DF92" s="581"/>
      <c r="DG92" s="581"/>
      <c r="DH92" s="581"/>
      <c r="DI92" s="581"/>
      <c r="DJ92" s="581"/>
      <c r="DK92" s="581"/>
      <c r="DL92" s="581"/>
      <c r="DM92" s="581"/>
      <c r="DN92" s="581"/>
      <c r="DO92" s="581"/>
      <c r="DP92" s="581"/>
      <c r="DQ92" s="581"/>
      <c r="DR92" s="581"/>
      <c r="DS92" s="581"/>
      <c r="DT92" s="581"/>
      <c r="DU92" s="581"/>
      <c r="DV92" s="581"/>
      <c r="DW92" s="581"/>
      <c r="DX92" s="581"/>
      <c r="DY92" s="581"/>
      <c r="DZ92" s="581"/>
      <c r="EA92" s="581"/>
      <c r="EB92" s="581"/>
      <c r="EC92" s="581"/>
      <c r="ED92" s="581"/>
      <c r="EE92" s="581"/>
      <c r="EF92" s="581"/>
      <c r="EG92" s="581"/>
      <c r="EH92" s="581"/>
      <c r="EI92" s="581"/>
      <c r="EJ92" s="581"/>
    </row>
    <row r="93" spans="1:140" s="603" customFormat="1" ht="15.75">
      <c r="A93" s="600"/>
      <c r="B93" s="600"/>
      <c r="C93" s="600"/>
      <c r="D93" s="600"/>
      <c r="E93" s="600"/>
      <c r="F93" s="645"/>
      <c r="G93" s="584"/>
      <c r="H93" s="646"/>
      <c r="I93" s="586"/>
      <c r="J93" s="587"/>
      <c r="K93" s="606"/>
      <c r="L93" s="607"/>
      <c r="M93" s="590"/>
      <c r="N93" s="590"/>
      <c r="O93" s="591"/>
      <c r="P93" s="590"/>
      <c r="Q93" s="590"/>
      <c r="R93" s="590"/>
      <c r="S93" s="590"/>
      <c r="T93" s="590"/>
      <c r="U93" s="608"/>
      <c r="V93" s="590"/>
      <c r="W93" s="590"/>
      <c r="X93" s="590"/>
      <c r="Y93" s="590"/>
      <c r="Z93" s="593"/>
      <c r="AA93" s="590"/>
      <c r="AB93" s="590"/>
      <c r="AC93" s="590"/>
      <c r="AD93" s="590"/>
      <c r="AE93" s="593"/>
      <c r="AF93" s="599"/>
      <c r="AG93" s="758"/>
      <c r="AH93" s="760"/>
      <c r="AI93" s="759"/>
      <c r="AJ93" s="758"/>
      <c r="AK93" s="758"/>
      <c r="AL93" s="734"/>
      <c r="AM93" s="800"/>
      <c r="AN93" s="569"/>
      <c r="AO93" s="569"/>
      <c r="AP93" s="734"/>
      <c r="AQ93" s="575"/>
      <c r="AR93" s="569"/>
      <c r="AS93" s="569"/>
      <c r="AT93" s="569"/>
      <c r="AU93" s="569"/>
      <c r="AV93" s="569"/>
      <c r="AW93" s="569"/>
      <c r="AX93" s="569"/>
      <c r="AY93" s="569"/>
      <c r="AZ93" s="569"/>
      <c r="BA93" s="569"/>
      <c r="BB93" s="569"/>
      <c r="BC93" s="569"/>
      <c r="BD93" s="569"/>
      <c r="BE93" s="569"/>
      <c r="BF93" s="569"/>
      <c r="BG93" s="569"/>
      <c r="BH93" s="569"/>
      <c r="BI93" s="569"/>
      <c r="BJ93" s="569"/>
      <c r="BK93" s="569"/>
      <c r="BL93" s="569"/>
      <c r="BM93" s="569"/>
      <c r="BN93" s="569"/>
      <c r="BO93" s="569"/>
      <c r="BP93" s="569"/>
      <c r="BQ93" s="569"/>
      <c r="BR93" s="569"/>
      <c r="BS93" s="569"/>
      <c r="BT93" s="569"/>
      <c r="BU93" s="569"/>
      <c r="BV93" s="569"/>
      <c r="BW93" s="569"/>
      <c r="BX93" s="569"/>
      <c r="BY93" s="569"/>
      <c r="BZ93" s="569"/>
      <c r="CA93" s="569"/>
      <c r="CB93" s="569"/>
      <c r="CC93" s="569"/>
      <c r="CD93" s="569"/>
      <c r="CE93" s="569"/>
      <c r="CF93" s="569"/>
      <c r="CG93" s="569"/>
      <c r="CH93" s="569"/>
      <c r="CI93" s="569"/>
      <c r="CJ93" s="569"/>
      <c r="CK93" s="569"/>
      <c r="CL93" s="569"/>
      <c r="CM93" s="569"/>
      <c r="CN93" s="569"/>
      <c r="CO93" s="569"/>
      <c r="CP93" s="569"/>
      <c r="CQ93" s="569"/>
      <c r="CR93" s="569"/>
      <c r="CS93" s="569"/>
      <c r="CT93" s="569"/>
      <c r="CU93" s="569"/>
      <c r="CV93" s="569"/>
      <c r="CW93" s="569"/>
      <c r="CX93" s="569"/>
      <c r="CY93" s="569"/>
      <c r="CZ93" s="569"/>
      <c r="DA93" s="569"/>
      <c r="DB93" s="569"/>
      <c r="DC93" s="569"/>
      <c r="DD93" s="569"/>
      <c r="DE93" s="569"/>
      <c r="DF93" s="569"/>
      <c r="DG93" s="569"/>
      <c r="DH93" s="569"/>
      <c r="DI93" s="569"/>
      <c r="DJ93" s="569"/>
      <c r="DK93" s="569"/>
      <c r="DL93" s="569"/>
      <c r="DM93" s="569"/>
      <c r="DN93" s="569"/>
      <c r="DO93" s="569"/>
      <c r="DP93" s="569"/>
      <c r="DQ93" s="569"/>
      <c r="DR93" s="569"/>
      <c r="DS93" s="569"/>
      <c r="DT93" s="569"/>
      <c r="DU93" s="569"/>
      <c r="DV93" s="569"/>
      <c r="DW93" s="569"/>
      <c r="DX93" s="569"/>
      <c r="DY93" s="569"/>
      <c r="DZ93" s="569"/>
      <c r="EA93" s="569"/>
      <c r="EB93" s="569"/>
      <c r="EC93" s="569"/>
      <c r="ED93" s="569"/>
      <c r="EE93" s="569"/>
      <c r="EF93" s="569"/>
      <c r="EG93" s="569"/>
      <c r="EH93" s="569"/>
      <c r="EI93" s="569"/>
      <c r="EJ93" s="569"/>
    </row>
    <row r="94" spans="1:140" ht="75">
      <c r="A94" s="600" t="s">
        <v>884</v>
      </c>
      <c r="B94" s="763" t="s">
        <v>779</v>
      </c>
      <c r="C94" s="842" t="s">
        <v>777</v>
      </c>
      <c r="D94" s="600">
        <v>1</v>
      </c>
      <c r="E94" s="600" t="s">
        <v>693</v>
      </c>
      <c r="F94" s="645">
        <v>2000</v>
      </c>
      <c r="G94" s="584">
        <v>274</v>
      </c>
      <c r="H94" s="643"/>
      <c r="I94" s="586"/>
      <c r="J94" s="587">
        <f>SUM(F94*G94)/K94</f>
        <v>54800</v>
      </c>
      <c r="K94" s="606">
        <v>10</v>
      </c>
      <c r="L94" s="607"/>
      <c r="M94" s="590"/>
      <c r="N94" s="590"/>
      <c r="O94" s="591"/>
      <c r="P94" s="590"/>
      <c r="Q94" s="590"/>
      <c r="R94" s="590"/>
      <c r="S94" s="590"/>
      <c r="T94" s="590"/>
      <c r="U94" s="608"/>
      <c r="V94" s="590"/>
      <c r="W94" s="590"/>
      <c r="X94" s="590"/>
      <c r="Y94" s="590"/>
      <c r="Z94" s="593"/>
      <c r="AA94" s="590"/>
      <c r="AB94" s="590"/>
      <c r="AC94" s="590"/>
      <c r="AD94" s="590"/>
      <c r="AE94" s="593"/>
      <c r="AG94" s="578"/>
      <c r="AH94" s="578"/>
      <c r="AI94" s="578"/>
      <c r="AJ94" s="578"/>
      <c r="AK94" s="578"/>
      <c r="AL94" s="579"/>
      <c r="AM94" s="580"/>
      <c r="AN94" s="581"/>
      <c r="AO94" s="581"/>
      <c r="AP94" s="579"/>
      <c r="AQ94" s="582"/>
      <c r="AR94" s="581"/>
      <c r="AS94" s="581"/>
      <c r="AT94" s="581"/>
      <c r="AU94" s="581"/>
      <c r="AV94" s="581"/>
      <c r="AW94" s="581"/>
      <c r="AX94" s="581"/>
      <c r="AY94" s="581"/>
      <c r="AZ94" s="581"/>
      <c r="BA94" s="581"/>
      <c r="BB94" s="581"/>
      <c r="BC94" s="581"/>
      <c r="BD94" s="581"/>
      <c r="BE94" s="581"/>
      <c r="BF94" s="581"/>
      <c r="BG94" s="581"/>
      <c r="BH94" s="581"/>
      <c r="BI94" s="581"/>
      <c r="BJ94" s="581"/>
      <c r="BK94" s="581"/>
      <c r="BL94" s="581"/>
      <c r="BM94" s="581"/>
      <c r="BN94" s="581"/>
      <c r="BO94" s="581"/>
      <c r="BP94" s="581"/>
      <c r="BQ94" s="581"/>
      <c r="BR94" s="581"/>
      <c r="BS94" s="581"/>
      <c r="BT94" s="581"/>
      <c r="BU94" s="581"/>
      <c r="BV94" s="581"/>
      <c r="BW94" s="581"/>
      <c r="BX94" s="581"/>
      <c r="BY94" s="581"/>
      <c r="BZ94" s="581"/>
      <c r="CA94" s="581"/>
      <c r="CB94" s="581"/>
      <c r="CC94" s="581"/>
      <c r="CD94" s="581"/>
      <c r="CE94" s="581"/>
      <c r="CF94" s="581"/>
      <c r="CG94" s="581"/>
      <c r="CH94" s="581"/>
      <c r="CI94" s="581"/>
      <c r="CJ94" s="581"/>
      <c r="CK94" s="581"/>
      <c r="CL94" s="581"/>
      <c r="CM94" s="581"/>
      <c r="CN94" s="581"/>
      <c r="CO94" s="581"/>
      <c r="CP94" s="581"/>
      <c r="CQ94" s="581"/>
      <c r="CR94" s="581"/>
      <c r="CS94" s="581"/>
      <c r="CT94" s="581"/>
      <c r="CU94" s="581"/>
      <c r="CV94" s="581"/>
      <c r="CW94" s="581"/>
      <c r="CX94" s="581"/>
      <c r="CY94" s="581"/>
      <c r="CZ94" s="581"/>
      <c r="DA94" s="581"/>
      <c r="DB94" s="581"/>
      <c r="DC94" s="581"/>
      <c r="DD94" s="581"/>
      <c r="DE94" s="581"/>
      <c r="DF94" s="581"/>
      <c r="DG94" s="581"/>
      <c r="DH94" s="581"/>
      <c r="DI94" s="581"/>
      <c r="DJ94" s="581"/>
      <c r="DK94" s="581"/>
      <c r="DL94" s="581"/>
      <c r="DM94" s="581"/>
      <c r="DN94" s="581"/>
      <c r="DO94" s="581"/>
      <c r="DP94" s="581"/>
      <c r="DQ94" s="581"/>
      <c r="DR94" s="581"/>
      <c r="DS94" s="581"/>
      <c r="DT94" s="581"/>
      <c r="DU94" s="581"/>
      <c r="DV94" s="581"/>
      <c r="DW94" s="581"/>
      <c r="DX94" s="581"/>
      <c r="DY94" s="581"/>
      <c r="DZ94" s="581"/>
      <c r="EA94" s="581"/>
      <c r="EB94" s="581"/>
      <c r="EC94" s="581"/>
      <c r="ED94" s="581"/>
      <c r="EE94" s="581"/>
      <c r="EF94" s="581"/>
      <c r="EG94" s="581"/>
      <c r="EH94" s="581"/>
      <c r="EI94" s="581"/>
      <c r="EJ94" s="581"/>
    </row>
    <row r="95" spans="1:140" ht="25.5">
      <c r="A95" s="595" t="s">
        <v>738</v>
      </c>
      <c r="B95" s="600"/>
      <c r="C95" s="600"/>
      <c r="D95" s="600"/>
      <c r="F95" s="647"/>
      <c r="G95" s="648"/>
      <c r="H95" s="649"/>
      <c r="J95" s="619"/>
      <c r="K95" s="651"/>
      <c r="L95" s="652"/>
      <c r="U95" s="654"/>
      <c r="V95" s="653"/>
      <c r="W95" s="653"/>
      <c r="X95" s="653"/>
      <c r="Y95" s="653"/>
      <c r="Z95" s="655"/>
      <c r="AA95" s="653"/>
      <c r="AB95" s="653"/>
      <c r="AC95" s="653"/>
      <c r="AD95" s="653"/>
      <c r="AE95" s="655"/>
      <c r="AG95" s="578"/>
      <c r="AH95" s="578"/>
      <c r="AI95" s="578"/>
      <c r="AJ95" s="578"/>
      <c r="AK95" s="578"/>
      <c r="AL95" s="579"/>
      <c r="AM95" s="580"/>
      <c r="AN95" s="581"/>
      <c r="AO95" s="581"/>
      <c r="AP95" s="579"/>
      <c r="AQ95" s="582"/>
      <c r="AR95" s="581"/>
      <c r="AS95" s="581"/>
      <c r="AT95" s="581"/>
      <c r="AU95" s="581"/>
      <c r="AV95" s="581"/>
      <c r="AW95" s="581"/>
      <c r="AX95" s="581"/>
      <c r="AY95" s="581"/>
      <c r="AZ95" s="581"/>
      <c r="BA95" s="581"/>
      <c r="BB95" s="581"/>
      <c r="BC95" s="581"/>
      <c r="BD95" s="581"/>
      <c r="BE95" s="581"/>
      <c r="BF95" s="581"/>
      <c r="BG95" s="581"/>
      <c r="BH95" s="581"/>
      <c r="BI95" s="581"/>
      <c r="BJ95" s="581"/>
      <c r="BK95" s="581"/>
      <c r="BL95" s="581"/>
      <c r="BM95" s="581"/>
      <c r="BN95" s="581"/>
      <c r="BO95" s="581"/>
      <c r="BP95" s="581"/>
      <c r="BQ95" s="581"/>
      <c r="BR95" s="581"/>
      <c r="BS95" s="581"/>
      <c r="BT95" s="581"/>
      <c r="BU95" s="581"/>
      <c r="BV95" s="581"/>
      <c r="BW95" s="581"/>
      <c r="BX95" s="581"/>
      <c r="BY95" s="581"/>
      <c r="BZ95" s="581"/>
      <c r="CA95" s="581"/>
      <c r="CB95" s="581"/>
      <c r="CC95" s="581"/>
      <c r="CD95" s="581"/>
      <c r="CE95" s="581"/>
      <c r="CF95" s="581"/>
      <c r="CG95" s="581"/>
      <c r="CH95" s="581"/>
      <c r="CI95" s="581"/>
      <c r="CJ95" s="581"/>
      <c r="CK95" s="581"/>
      <c r="CL95" s="581"/>
      <c r="CM95" s="581"/>
      <c r="CN95" s="581"/>
      <c r="CO95" s="581"/>
      <c r="CP95" s="581"/>
      <c r="CQ95" s="581"/>
      <c r="CR95" s="581"/>
      <c r="CS95" s="581"/>
      <c r="CT95" s="581"/>
      <c r="CU95" s="581"/>
      <c r="CV95" s="581"/>
      <c r="CW95" s="581"/>
      <c r="CX95" s="581"/>
      <c r="CY95" s="581"/>
      <c r="CZ95" s="581"/>
      <c r="DA95" s="581"/>
      <c r="DB95" s="581"/>
      <c r="DC95" s="581"/>
      <c r="DD95" s="581"/>
      <c r="DE95" s="581"/>
      <c r="DF95" s="581"/>
      <c r="DG95" s="581"/>
      <c r="DH95" s="581"/>
      <c r="DI95" s="581"/>
      <c r="DJ95" s="581"/>
      <c r="DK95" s="581"/>
      <c r="DL95" s="581"/>
      <c r="DM95" s="581"/>
      <c r="DN95" s="581"/>
      <c r="DO95" s="581"/>
      <c r="DP95" s="581"/>
      <c r="DQ95" s="581"/>
      <c r="DR95" s="581"/>
      <c r="DS95" s="581"/>
      <c r="DT95" s="581"/>
      <c r="DU95" s="581"/>
      <c r="DV95" s="581"/>
      <c r="DW95" s="581"/>
      <c r="DX95" s="581"/>
      <c r="DY95" s="581"/>
      <c r="DZ95" s="581"/>
      <c r="EA95" s="581"/>
      <c r="EB95" s="581"/>
      <c r="EC95" s="581"/>
      <c r="ED95" s="581"/>
      <c r="EE95" s="581"/>
      <c r="EF95" s="581"/>
      <c r="EG95" s="581"/>
      <c r="EH95" s="581"/>
      <c r="EI95" s="581"/>
      <c r="EJ95" s="581"/>
    </row>
    <row r="96" spans="1:140" s="603" customFormat="1" ht="15.75">
      <c r="A96" s="600"/>
      <c r="B96" s="600"/>
      <c r="C96" s="600"/>
      <c r="D96" s="600"/>
      <c r="E96" s="600"/>
      <c r="F96" s="583"/>
      <c r="G96" s="584"/>
      <c r="H96" s="586"/>
      <c r="I96" s="586"/>
      <c r="J96" s="587"/>
      <c r="K96" s="606"/>
      <c r="L96" s="607"/>
      <c r="M96" s="590"/>
      <c r="N96" s="590"/>
      <c r="O96" s="591"/>
      <c r="P96" s="590"/>
      <c r="Q96" s="590"/>
      <c r="R96" s="590"/>
      <c r="S96" s="590"/>
      <c r="T96" s="590"/>
      <c r="U96" s="592"/>
      <c r="V96" s="590"/>
      <c r="W96" s="590"/>
      <c r="X96" s="590"/>
      <c r="Y96" s="590"/>
      <c r="Z96" s="593"/>
      <c r="AA96" s="590"/>
      <c r="AB96" s="590"/>
      <c r="AC96" s="590"/>
      <c r="AD96" s="590"/>
      <c r="AE96" s="593"/>
      <c r="AF96" s="599"/>
      <c r="AG96" s="758"/>
      <c r="AH96" s="758"/>
      <c r="AI96" s="758"/>
      <c r="AJ96" s="758"/>
      <c r="AK96" s="758"/>
      <c r="AL96" s="734"/>
      <c r="AM96" s="800"/>
      <c r="AN96" s="569"/>
      <c r="AO96" s="569"/>
      <c r="AP96" s="734"/>
      <c r="AQ96" s="575"/>
      <c r="AR96" s="569"/>
      <c r="AS96" s="569"/>
      <c r="AT96" s="569"/>
      <c r="AU96" s="569"/>
      <c r="AV96" s="569"/>
      <c r="AW96" s="569"/>
      <c r="AX96" s="569"/>
      <c r="AY96" s="569"/>
      <c r="AZ96" s="569"/>
      <c r="BA96" s="569"/>
      <c r="BB96" s="569"/>
      <c r="BC96" s="569"/>
      <c r="BD96" s="569"/>
      <c r="BE96" s="569"/>
      <c r="BF96" s="569"/>
      <c r="BG96" s="569"/>
      <c r="BH96" s="569"/>
      <c r="BI96" s="569"/>
      <c r="BJ96" s="569"/>
      <c r="BK96" s="569"/>
      <c r="BL96" s="569"/>
      <c r="BM96" s="569"/>
      <c r="BN96" s="569"/>
      <c r="BO96" s="569"/>
      <c r="BP96" s="569"/>
      <c r="BQ96" s="569"/>
      <c r="BR96" s="569"/>
      <c r="BS96" s="569"/>
      <c r="BT96" s="569"/>
      <c r="BU96" s="569"/>
      <c r="BV96" s="569"/>
      <c r="BW96" s="569"/>
      <c r="BX96" s="569"/>
      <c r="BY96" s="569"/>
      <c r="BZ96" s="569"/>
      <c r="CA96" s="569"/>
      <c r="CB96" s="569"/>
      <c r="CC96" s="569"/>
      <c r="CD96" s="569"/>
      <c r="CE96" s="569"/>
      <c r="CF96" s="569"/>
      <c r="CG96" s="569"/>
      <c r="CH96" s="569"/>
      <c r="CI96" s="569"/>
      <c r="CJ96" s="569"/>
      <c r="CK96" s="569"/>
      <c r="CL96" s="569"/>
      <c r="CM96" s="569"/>
      <c r="CN96" s="569"/>
      <c r="CO96" s="569"/>
      <c r="CP96" s="569"/>
      <c r="CQ96" s="569"/>
      <c r="CR96" s="569"/>
      <c r="CS96" s="569"/>
      <c r="CT96" s="569"/>
      <c r="CU96" s="569"/>
      <c r="CV96" s="569"/>
      <c r="CW96" s="569"/>
      <c r="CX96" s="569"/>
      <c r="CY96" s="569"/>
      <c r="CZ96" s="569"/>
      <c r="DA96" s="569"/>
      <c r="DB96" s="569"/>
      <c r="DC96" s="569"/>
      <c r="DD96" s="569"/>
      <c r="DE96" s="569"/>
      <c r="DF96" s="569"/>
      <c r="DG96" s="569"/>
      <c r="DH96" s="569"/>
      <c r="DI96" s="569"/>
      <c r="DJ96" s="569"/>
      <c r="DK96" s="569"/>
      <c r="DL96" s="569"/>
      <c r="DM96" s="569"/>
      <c r="DN96" s="569"/>
      <c r="DO96" s="569"/>
      <c r="DP96" s="569"/>
      <c r="DQ96" s="569"/>
      <c r="DR96" s="569"/>
      <c r="DS96" s="569"/>
      <c r="DT96" s="569"/>
      <c r="DU96" s="569"/>
      <c r="DV96" s="569"/>
      <c r="DW96" s="569"/>
      <c r="DX96" s="569"/>
      <c r="DY96" s="569"/>
      <c r="DZ96" s="569"/>
      <c r="EA96" s="569"/>
      <c r="EB96" s="569"/>
      <c r="EC96" s="569"/>
      <c r="ED96" s="569"/>
      <c r="EE96" s="569"/>
      <c r="EF96" s="569"/>
      <c r="EG96" s="569"/>
      <c r="EH96" s="569"/>
      <c r="EI96" s="569"/>
      <c r="EJ96" s="569"/>
    </row>
    <row r="97" spans="1:140" ht="31.5">
      <c r="A97" s="631" t="s">
        <v>74</v>
      </c>
      <c r="B97" s="624"/>
      <c r="C97" s="624"/>
      <c r="D97" s="624"/>
      <c r="E97" s="631"/>
      <c r="F97" s="663"/>
      <c r="G97" s="657"/>
      <c r="H97" s="658">
        <f>SUM(H77:H96)</f>
        <v>26970</v>
      </c>
      <c r="I97" s="586"/>
      <c r="J97" s="659">
        <f>SUM(J77:J96)</f>
        <v>381710</v>
      </c>
      <c r="K97" s="610" t="s">
        <v>25</v>
      </c>
      <c r="L97" s="659">
        <f>SUM(L77:L96)</f>
        <v>0</v>
      </c>
      <c r="M97" s="659">
        <f>SUM(M77:M96)</f>
        <v>198360</v>
      </c>
      <c r="N97" s="659">
        <f>SUM(N77:N96)</f>
        <v>198360</v>
      </c>
      <c r="O97" s="639"/>
      <c r="P97" s="625">
        <f>SUM(P77:P96)</f>
        <v>73080</v>
      </c>
      <c r="Q97" s="625">
        <f>SUM(Q77:Q96)</f>
        <v>0</v>
      </c>
      <c r="R97" s="625">
        <f>SUM(R77:R96)</f>
        <v>0</v>
      </c>
      <c r="S97" s="625">
        <f>SUM(S77:S96)</f>
        <v>125280</v>
      </c>
      <c r="T97" s="625">
        <f>SUM(T77:T96)</f>
        <v>198360</v>
      </c>
      <c r="U97" s="625">
        <v>797789.4214685819</v>
      </c>
      <c r="V97" s="625">
        <f aca="true" t="shared" si="30" ref="V97:AE97">SUM(V77:V96)</f>
        <v>12180</v>
      </c>
      <c r="W97" s="625">
        <f t="shared" si="30"/>
        <v>0</v>
      </c>
      <c r="X97" s="625">
        <f t="shared" si="30"/>
        <v>0</v>
      </c>
      <c r="Y97" s="625">
        <f t="shared" si="30"/>
        <v>20880</v>
      </c>
      <c r="Z97" s="625">
        <f t="shared" si="30"/>
        <v>33060</v>
      </c>
      <c r="AA97" s="625">
        <f t="shared" si="30"/>
        <v>0</v>
      </c>
      <c r="AB97" s="625">
        <f t="shared" si="30"/>
        <v>0</v>
      </c>
      <c r="AC97" s="625">
        <f t="shared" si="30"/>
        <v>0</v>
      </c>
      <c r="AD97" s="625">
        <f t="shared" si="30"/>
        <v>0</v>
      </c>
      <c r="AE97" s="625">
        <f t="shared" si="30"/>
        <v>0</v>
      </c>
      <c r="AG97" s="578"/>
      <c r="AH97" s="578"/>
      <c r="AI97" s="578"/>
      <c r="AJ97" s="578"/>
      <c r="AK97" s="578"/>
      <c r="AL97" s="579"/>
      <c r="AM97" s="580"/>
      <c r="AN97" s="581"/>
      <c r="AO97" s="581"/>
      <c r="AP97" s="579"/>
      <c r="AQ97" s="582"/>
      <c r="AR97" s="581"/>
      <c r="AS97" s="581"/>
      <c r="AT97" s="581"/>
      <c r="AU97" s="581"/>
      <c r="AV97" s="581"/>
      <c r="AW97" s="581"/>
      <c r="AX97" s="581"/>
      <c r="AY97" s="581"/>
      <c r="AZ97" s="581"/>
      <c r="BA97" s="581"/>
      <c r="BB97" s="581"/>
      <c r="BC97" s="581"/>
      <c r="BD97" s="581"/>
      <c r="BE97" s="581"/>
      <c r="BF97" s="581"/>
      <c r="BG97" s="581"/>
      <c r="BH97" s="581"/>
      <c r="BI97" s="581"/>
      <c r="BJ97" s="581"/>
      <c r="BK97" s="581"/>
      <c r="BL97" s="581"/>
      <c r="BM97" s="581"/>
      <c r="BN97" s="581"/>
      <c r="BO97" s="581"/>
      <c r="BP97" s="581"/>
      <c r="BQ97" s="581"/>
      <c r="BR97" s="581"/>
      <c r="BS97" s="581"/>
      <c r="BT97" s="581"/>
      <c r="BU97" s="581"/>
      <c r="BV97" s="581"/>
      <c r="BW97" s="581"/>
      <c r="BX97" s="581"/>
      <c r="BY97" s="581"/>
      <c r="BZ97" s="581"/>
      <c r="CA97" s="581"/>
      <c r="CB97" s="581"/>
      <c r="CC97" s="581"/>
      <c r="CD97" s="581"/>
      <c r="CE97" s="581"/>
      <c r="CF97" s="581"/>
      <c r="CG97" s="581"/>
      <c r="CH97" s="581"/>
      <c r="CI97" s="581"/>
      <c r="CJ97" s="581"/>
      <c r="CK97" s="581"/>
      <c r="CL97" s="581"/>
      <c r="CM97" s="581"/>
      <c r="CN97" s="581"/>
      <c r="CO97" s="581"/>
      <c r="CP97" s="581"/>
      <c r="CQ97" s="581"/>
      <c r="CR97" s="581"/>
      <c r="CS97" s="581"/>
      <c r="CT97" s="581"/>
      <c r="CU97" s="581"/>
      <c r="CV97" s="581"/>
      <c r="CW97" s="581"/>
      <c r="CX97" s="581"/>
      <c r="CY97" s="581"/>
      <c r="CZ97" s="581"/>
      <c r="DA97" s="581"/>
      <c r="DB97" s="581"/>
      <c r="DC97" s="581"/>
      <c r="DD97" s="581"/>
      <c r="DE97" s="581"/>
      <c r="DF97" s="581"/>
      <c r="DG97" s="581"/>
      <c r="DH97" s="581"/>
      <c r="DI97" s="581"/>
      <c r="DJ97" s="581"/>
      <c r="DK97" s="581"/>
      <c r="DL97" s="581"/>
      <c r="DM97" s="581"/>
      <c r="DN97" s="581"/>
      <c r="DO97" s="581"/>
      <c r="DP97" s="581"/>
      <c r="DQ97" s="581"/>
      <c r="DR97" s="581"/>
      <c r="DS97" s="581"/>
      <c r="DT97" s="581"/>
      <c r="DU97" s="581"/>
      <c r="DV97" s="581"/>
      <c r="DW97" s="581"/>
      <c r="DX97" s="581"/>
      <c r="DY97" s="581"/>
      <c r="DZ97" s="581"/>
      <c r="EA97" s="581"/>
      <c r="EB97" s="581"/>
      <c r="EC97" s="581"/>
      <c r="ED97" s="581"/>
      <c r="EE97" s="581"/>
      <c r="EF97" s="581"/>
      <c r="EG97" s="581"/>
      <c r="EH97" s="581"/>
      <c r="EI97" s="581"/>
      <c r="EJ97" s="581"/>
    </row>
    <row r="98" spans="1:140" ht="15.75">
      <c r="A98" s="624"/>
      <c r="B98" s="624"/>
      <c r="C98" s="624"/>
      <c r="D98" s="624"/>
      <c r="E98" s="624"/>
      <c r="F98" s="583"/>
      <c r="H98" s="658"/>
      <c r="I98" s="586"/>
      <c r="J98" s="615"/>
      <c r="K98" s="606"/>
      <c r="L98" s="667"/>
      <c r="M98" s="625"/>
      <c r="N98" s="625"/>
      <c r="O98" s="591"/>
      <c r="P98" s="590"/>
      <c r="Q98" s="590"/>
      <c r="R98" s="590"/>
      <c r="S98" s="590"/>
      <c r="T98" s="590"/>
      <c r="U98" s="593"/>
      <c r="V98" s="590"/>
      <c r="W98" s="590"/>
      <c r="X98" s="590"/>
      <c r="Y98" s="590"/>
      <c r="Z98" s="593"/>
      <c r="AA98" s="625"/>
      <c r="AB98" s="625"/>
      <c r="AC98" s="625"/>
      <c r="AD98" s="625"/>
      <c r="AE98" s="593"/>
      <c r="AF98" s="566"/>
      <c r="AG98" s="578"/>
      <c r="AH98" s="578"/>
      <c r="AI98" s="578"/>
      <c r="AJ98" s="578"/>
      <c r="AK98" s="578"/>
      <c r="AL98" s="579"/>
      <c r="AM98" s="580"/>
      <c r="AN98" s="581"/>
      <c r="AO98" s="581"/>
      <c r="AP98" s="579"/>
      <c r="AQ98" s="582"/>
      <c r="AR98" s="581"/>
      <c r="AS98" s="581"/>
      <c r="AT98" s="581"/>
      <c r="AU98" s="581"/>
      <c r="AV98" s="581"/>
      <c r="AW98" s="581"/>
      <c r="AX98" s="581"/>
      <c r="AY98" s="581"/>
      <c r="AZ98" s="581"/>
      <c r="BA98" s="581"/>
      <c r="BB98" s="581"/>
      <c r="BC98" s="581"/>
      <c r="BD98" s="581"/>
      <c r="BE98" s="581"/>
      <c r="BF98" s="581"/>
      <c r="BG98" s="581"/>
      <c r="BH98" s="581"/>
      <c r="BI98" s="581"/>
      <c r="BJ98" s="581"/>
      <c r="BK98" s="581"/>
      <c r="BL98" s="581"/>
      <c r="BM98" s="581"/>
      <c r="BN98" s="581"/>
      <c r="BO98" s="581"/>
      <c r="BP98" s="581"/>
      <c r="BQ98" s="581"/>
      <c r="BR98" s="581"/>
      <c r="BS98" s="581"/>
      <c r="BT98" s="581"/>
      <c r="BU98" s="581"/>
      <c r="BV98" s="581"/>
      <c r="BW98" s="581"/>
      <c r="BX98" s="581"/>
      <c r="BY98" s="581"/>
      <c r="BZ98" s="581"/>
      <c r="CA98" s="581"/>
      <c r="CB98" s="581"/>
      <c r="CC98" s="581"/>
      <c r="CD98" s="581"/>
      <c r="CE98" s="581"/>
      <c r="CF98" s="581"/>
      <c r="CG98" s="581"/>
      <c r="CH98" s="581"/>
      <c r="CI98" s="581"/>
      <c r="CJ98" s="581"/>
      <c r="CK98" s="581"/>
      <c r="CL98" s="581"/>
      <c r="CM98" s="581"/>
      <c r="CN98" s="581"/>
      <c r="CO98" s="581"/>
      <c r="CP98" s="581"/>
      <c r="CQ98" s="581"/>
      <c r="CR98" s="581"/>
      <c r="CS98" s="581"/>
      <c r="CT98" s="581"/>
      <c r="CU98" s="581"/>
      <c r="CV98" s="581"/>
      <c r="CW98" s="581"/>
      <c r="CX98" s="581"/>
      <c r="CY98" s="581"/>
      <c r="CZ98" s="581"/>
      <c r="DA98" s="581"/>
      <c r="DB98" s="581"/>
      <c r="DC98" s="581"/>
      <c r="DD98" s="581"/>
      <c r="DE98" s="581"/>
      <c r="DF98" s="581"/>
      <c r="DG98" s="581"/>
      <c r="DH98" s="581"/>
      <c r="DI98" s="581"/>
      <c r="DJ98" s="581"/>
      <c r="DK98" s="581"/>
      <c r="DL98" s="581"/>
      <c r="DM98" s="581"/>
      <c r="DN98" s="581"/>
      <c r="DO98" s="581"/>
      <c r="DP98" s="581"/>
      <c r="DQ98" s="581"/>
      <c r="DR98" s="581"/>
      <c r="DS98" s="581"/>
      <c r="DT98" s="581"/>
      <c r="DU98" s="581"/>
      <c r="DV98" s="581"/>
      <c r="DW98" s="581"/>
      <c r="DX98" s="581"/>
      <c r="DY98" s="581"/>
      <c r="DZ98" s="581"/>
      <c r="EA98" s="581"/>
      <c r="EB98" s="581"/>
      <c r="EC98" s="581"/>
      <c r="ED98" s="581"/>
      <c r="EE98" s="581"/>
      <c r="EF98" s="581"/>
      <c r="EG98" s="581"/>
      <c r="EH98" s="581"/>
      <c r="EI98" s="581"/>
      <c r="EJ98" s="581"/>
    </row>
    <row r="99" spans="1:140" ht="18">
      <c r="A99" s="668" t="s">
        <v>75</v>
      </c>
      <c r="B99" s="732"/>
      <c r="C99" s="732"/>
      <c r="D99" s="732"/>
      <c r="E99" s="668"/>
      <c r="F99" s="583"/>
      <c r="H99" s="658"/>
      <c r="I99" s="586"/>
      <c r="J99" s="615">
        <f>J72+J75+J97</f>
        <v>738730.320625</v>
      </c>
      <c r="K99" s="606"/>
      <c r="L99" s="615">
        <f>L72+L75+L97</f>
        <v>48766.960666666666</v>
      </c>
      <c r="M99" s="615">
        <f>M72+M75+M97</f>
        <v>2340481.92375</v>
      </c>
      <c r="N99" s="615">
        <f>N72+N75+N97</f>
        <v>2194181.04175</v>
      </c>
      <c r="O99" s="591"/>
      <c r="P99" s="615">
        <f aca="true" t="shared" si="31" ref="P99:AE99">P72+P75+P97</f>
        <v>2215201.92375</v>
      </c>
      <c r="Q99" s="615">
        <f t="shared" si="31"/>
        <v>0</v>
      </c>
      <c r="R99" s="615">
        <f t="shared" si="31"/>
        <v>0</v>
      </c>
      <c r="S99" s="615">
        <f t="shared" si="31"/>
        <v>125280</v>
      </c>
      <c r="T99" s="615">
        <f t="shared" si="31"/>
        <v>2340481.92375</v>
      </c>
      <c r="U99" s="615">
        <f t="shared" si="31"/>
        <v>1571410.8900177828</v>
      </c>
      <c r="V99" s="615">
        <f t="shared" si="31"/>
        <v>369200.32062500005</v>
      </c>
      <c r="W99" s="615">
        <f t="shared" si="31"/>
        <v>0</v>
      </c>
      <c r="X99" s="615">
        <f t="shared" si="31"/>
        <v>0</v>
      </c>
      <c r="Y99" s="615">
        <f t="shared" si="31"/>
        <v>20880</v>
      </c>
      <c r="Z99" s="615">
        <f t="shared" si="31"/>
        <v>390080.32062500005</v>
      </c>
      <c r="AA99" s="615">
        <f t="shared" si="31"/>
        <v>48766.960666666666</v>
      </c>
      <c r="AB99" s="615">
        <f t="shared" si="31"/>
        <v>0</v>
      </c>
      <c r="AC99" s="615">
        <f t="shared" si="31"/>
        <v>0</v>
      </c>
      <c r="AD99" s="615">
        <f t="shared" si="31"/>
        <v>0</v>
      </c>
      <c r="AE99" s="615">
        <f t="shared" si="31"/>
        <v>48766.960666666666</v>
      </c>
      <c r="AG99" s="578"/>
      <c r="AH99" s="578"/>
      <c r="AI99" s="578"/>
      <c r="AJ99" s="578"/>
      <c r="AK99" s="578"/>
      <c r="AL99" s="579"/>
      <c r="AM99" s="580"/>
      <c r="AN99" s="581"/>
      <c r="AO99" s="581"/>
      <c r="AP99" s="579"/>
      <c r="AQ99" s="582"/>
      <c r="AR99" s="581"/>
      <c r="AS99" s="581"/>
      <c r="AT99" s="581"/>
      <c r="AU99" s="581"/>
      <c r="AV99" s="581"/>
      <c r="AW99" s="581"/>
      <c r="AX99" s="581"/>
      <c r="AY99" s="581"/>
      <c r="AZ99" s="581"/>
      <c r="BA99" s="581"/>
      <c r="BB99" s="581"/>
      <c r="BC99" s="581"/>
      <c r="BD99" s="581"/>
      <c r="BE99" s="581"/>
      <c r="BF99" s="581"/>
      <c r="BG99" s="581"/>
      <c r="BH99" s="581"/>
      <c r="BI99" s="581"/>
      <c r="BJ99" s="581"/>
      <c r="BK99" s="581"/>
      <c r="BL99" s="581"/>
      <c r="BM99" s="581"/>
      <c r="BN99" s="581"/>
      <c r="BO99" s="581"/>
      <c r="BP99" s="581"/>
      <c r="BQ99" s="581"/>
      <c r="BR99" s="581"/>
      <c r="BS99" s="581"/>
      <c r="BT99" s="581"/>
      <c r="BU99" s="581"/>
      <c r="BV99" s="581"/>
      <c r="BW99" s="581"/>
      <c r="BX99" s="581"/>
      <c r="BY99" s="581"/>
      <c r="BZ99" s="581"/>
      <c r="CA99" s="581"/>
      <c r="CB99" s="581"/>
      <c r="CC99" s="581"/>
      <c r="CD99" s="581"/>
      <c r="CE99" s="581"/>
      <c r="CF99" s="581"/>
      <c r="CG99" s="581"/>
      <c r="CH99" s="581"/>
      <c r="CI99" s="581"/>
      <c r="CJ99" s="581"/>
      <c r="CK99" s="581"/>
      <c r="CL99" s="581"/>
      <c r="CM99" s="581"/>
      <c r="CN99" s="581"/>
      <c r="CO99" s="581"/>
      <c r="CP99" s="581"/>
      <c r="CQ99" s="581"/>
      <c r="CR99" s="581"/>
      <c r="CS99" s="581"/>
      <c r="CT99" s="581"/>
      <c r="CU99" s="581"/>
      <c r="CV99" s="581"/>
      <c r="CW99" s="581"/>
      <c r="CX99" s="581"/>
      <c r="CY99" s="581"/>
      <c r="CZ99" s="581"/>
      <c r="DA99" s="581"/>
      <c r="DB99" s="581"/>
      <c r="DC99" s="581"/>
      <c r="DD99" s="581"/>
      <c r="DE99" s="581"/>
      <c r="DF99" s="581"/>
      <c r="DG99" s="581"/>
      <c r="DH99" s="581"/>
      <c r="DI99" s="581"/>
      <c r="DJ99" s="581"/>
      <c r="DK99" s="581"/>
      <c r="DL99" s="581"/>
      <c r="DM99" s="581"/>
      <c r="DN99" s="581"/>
      <c r="DO99" s="581"/>
      <c r="DP99" s="581"/>
      <c r="DQ99" s="581"/>
      <c r="DR99" s="581"/>
      <c r="DS99" s="581"/>
      <c r="DT99" s="581"/>
      <c r="DU99" s="581"/>
      <c r="DV99" s="581"/>
      <c r="DW99" s="581"/>
      <c r="DX99" s="581"/>
      <c r="DY99" s="581"/>
      <c r="DZ99" s="581"/>
      <c r="EA99" s="581"/>
      <c r="EB99" s="581"/>
      <c r="EC99" s="581"/>
      <c r="ED99" s="581"/>
      <c r="EE99" s="581"/>
      <c r="EF99" s="581"/>
      <c r="EG99" s="581"/>
      <c r="EH99" s="581"/>
      <c r="EI99" s="581"/>
      <c r="EJ99" s="581"/>
    </row>
    <row r="100" spans="1:140" ht="15.75">
      <c r="A100" s="624"/>
      <c r="B100" s="624"/>
      <c r="C100" s="624"/>
      <c r="D100" s="624"/>
      <c r="E100" s="624"/>
      <c r="F100" s="583"/>
      <c r="H100" s="658"/>
      <c r="I100" s="586"/>
      <c r="J100" s="615"/>
      <c r="K100" s="606"/>
      <c r="L100" s="667"/>
      <c r="M100" s="625"/>
      <c r="N100" s="625"/>
      <c r="O100" s="591"/>
      <c r="P100" s="590"/>
      <c r="Q100" s="590"/>
      <c r="R100" s="590"/>
      <c r="S100" s="590"/>
      <c r="T100" s="590"/>
      <c r="U100" s="593"/>
      <c r="V100" s="590"/>
      <c r="W100" s="590"/>
      <c r="X100" s="590"/>
      <c r="Y100" s="590"/>
      <c r="Z100" s="593"/>
      <c r="AA100" s="625"/>
      <c r="AB100" s="625"/>
      <c r="AC100" s="625"/>
      <c r="AD100" s="625"/>
      <c r="AE100" s="593"/>
      <c r="AG100" s="578"/>
      <c r="AH100" s="578"/>
      <c r="AI100" s="578"/>
      <c r="AJ100" s="578"/>
      <c r="AK100" s="578"/>
      <c r="AL100" s="579"/>
      <c r="AM100" s="580"/>
      <c r="AN100" s="581"/>
      <c r="AO100" s="581"/>
      <c r="AP100" s="579"/>
      <c r="AQ100" s="582"/>
      <c r="AR100" s="581"/>
      <c r="AS100" s="581"/>
      <c r="AT100" s="581"/>
      <c r="AU100" s="581"/>
      <c r="AV100" s="581"/>
      <c r="AW100" s="581"/>
      <c r="AX100" s="581"/>
      <c r="AY100" s="581"/>
      <c r="AZ100" s="581"/>
      <c r="BA100" s="581"/>
      <c r="BB100" s="581"/>
      <c r="BC100" s="581"/>
      <c r="BD100" s="581"/>
      <c r="BE100" s="581"/>
      <c r="BF100" s="581"/>
      <c r="BG100" s="581"/>
      <c r="BH100" s="581"/>
      <c r="BI100" s="581"/>
      <c r="BJ100" s="581"/>
      <c r="BK100" s="581"/>
      <c r="BL100" s="581"/>
      <c r="BM100" s="581"/>
      <c r="BN100" s="581"/>
      <c r="BO100" s="581"/>
      <c r="BP100" s="581"/>
      <c r="BQ100" s="581"/>
      <c r="BR100" s="581"/>
      <c r="BS100" s="581"/>
      <c r="BT100" s="581"/>
      <c r="BU100" s="581"/>
      <c r="BV100" s="581"/>
      <c r="BW100" s="581"/>
      <c r="BX100" s="581"/>
      <c r="BY100" s="581"/>
      <c r="BZ100" s="581"/>
      <c r="CA100" s="581"/>
      <c r="CB100" s="581"/>
      <c r="CC100" s="581"/>
      <c r="CD100" s="581"/>
      <c r="CE100" s="581"/>
      <c r="CF100" s="581"/>
      <c r="CG100" s="581"/>
      <c r="CH100" s="581"/>
      <c r="CI100" s="581"/>
      <c r="CJ100" s="581"/>
      <c r="CK100" s="581"/>
      <c r="CL100" s="581"/>
      <c r="CM100" s="581"/>
      <c r="CN100" s="581"/>
      <c r="CO100" s="581"/>
      <c r="CP100" s="581"/>
      <c r="CQ100" s="581"/>
      <c r="CR100" s="581"/>
      <c r="CS100" s="581"/>
      <c r="CT100" s="581"/>
      <c r="CU100" s="581"/>
      <c r="CV100" s="581"/>
      <c r="CW100" s="581"/>
      <c r="CX100" s="581"/>
      <c r="CY100" s="581"/>
      <c r="CZ100" s="581"/>
      <c r="DA100" s="581"/>
      <c r="DB100" s="581"/>
      <c r="DC100" s="581"/>
      <c r="DD100" s="581"/>
      <c r="DE100" s="581"/>
      <c r="DF100" s="581"/>
      <c r="DG100" s="581"/>
      <c r="DH100" s="581"/>
      <c r="DI100" s="581"/>
      <c r="DJ100" s="581"/>
      <c r="DK100" s="581"/>
      <c r="DL100" s="581"/>
      <c r="DM100" s="581"/>
      <c r="DN100" s="581"/>
      <c r="DO100" s="581"/>
      <c r="DP100" s="581"/>
      <c r="DQ100" s="581"/>
      <c r="DR100" s="581"/>
      <c r="DS100" s="581"/>
      <c r="DT100" s="581"/>
      <c r="DU100" s="581"/>
      <c r="DV100" s="581"/>
      <c r="DW100" s="581"/>
      <c r="DX100" s="581"/>
      <c r="DY100" s="581"/>
      <c r="DZ100" s="581"/>
      <c r="EA100" s="581"/>
      <c r="EB100" s="581"/>
      <c r="EC100" s="581"/>
      <c r="ED100" s="581"/>
      <c r="EE100" s="581"/>
      <c r="EF100" s="581"/>
      <c r="EG100" s="581"/>
      <c r="EH100" s="581"/>
      <c r="EI100" s="581"/>
      <c r="EJ100" s="581"/>
    </row>
    <row r="101" spans="1:140" ht="18">
      <c r="A101" s="669" t="s">
        <v>76</v>
      </c>
      <c r="B101" s="624"/>
      <c r="C101" s="624"/>
      <c r="D101" s="624"/>
      <c r="E101" s="669"/>
      <c r="F101" s="583"/>
      <c r="H101" s="658"/>
      <c r="I101" s="586"/>
      <c r="J101" s="615"/>
      <c r="K101" s="606"/>
      <c r="L101" s="667"/>
      <c r="M101" s="625"/>
      <c r="N101" s="625"/>
      <c r="O101" s="591"/>
      <c r="P101" s="590"/>
      <c r="Q101" s="590"/>
      <c r="R101" s="590"/>
      <c r="S101" s="590"/>
      <c r="T101" s="590"/>
      <c r="U101" s="593"/>
      <c r="V101" s="590"/>
      <c r="W101" s="590"/>
      <c r="X101" s="590"/>
      <c r="Y101" s="590"/>
      <c r="Z101" s="593"/>
      <c r="AA101" s="625"/>
      <c r="AB101" s="625"/>
      <c r="AC101" s="625"/>
      <c r="AD101" s="625"/>
      <c r="AE101" s="593"/>
      <c r="AF101" s="543"/>
      <c r="AG101" s="837"/>
      <c r="AH101" s="837"/>
      <c r="AI101" s="837"/>
      <c r="AJ101" s="837"/>
      <c r="AK101" s="837"/>
      <c r="AL101" s="818"/>
      <c r="AM101" s="816"/>
      <c r="AN101" s="817"/>
      <c r="AO101" s="817"/>
      <c r="AP101" s="818"/>
      <c r="AQ101" s="838"/>
      <c r="AR101" s="817"/>
      <c r="AS101" s="817"/>
      <c r="AT101" s="817"/>
      <c r="AU101" s="817"/>
      <c r="AV101" s="817"/>
      <c r="AW101" s="817"/>
      <c r="AX101" s="817"/>
      <c r="AY101" s="817"/>
      <c r="AZ101" s="817"/>
      <c r="BA101" s="817"/>
      <c r="BB101" s="817"/>
      <c r="BC101" s="817"/>
      <c r="BD101" s="817"/>
      <c r="BE101" s="817"/>
      <c r="BF101" s="817"/>
      <c r="BG101" s="817"/>
      <c r="BH101" s="817"/>
      <c r="BI101" s="817"/>
      <c r="BJ101" s="817"/>
      <c r="BK101" s="817"/>
      <c r="BL101" s="817"/>
      <c r="BM101" s="817"/>
      <c r="BN101" s="817"/>
      <c r="BO101" s="817"/>
      <c r="BP101" s="817"/>
      <c r="BQ101" s="817"/>
      <c r="BR101" s="817"/>
      <c r="BS101" s="817"/>
      <c r="BT101" s="817"/>
      <c r="BU101" s="817"/>
      <c r="BV101" s="817"/>
      <c r="BW101" s="817"/>
      <c r="BX101" s="817"/>
      <c r="BY101" s="817"/>
      <c r="BZ101" s="817"/>
      <c r="CA101" s="817"/>
      <c r="CB101" s="817"/>
      <c r="CC101" s="817"/>
      <c r="CD101" s="817"/>
      <c r="CE101" s="817"/>
      <c r="CF101" s="817"/>
      <c r="CG101" s="817"/>
      <c r="CH101" s="817"/>
      <c r="CI101" s="817"/>
      <c r="CJ101" s="817"/>
      <c r="CK101" s="817"/>
      <c r="CL101" s="817"/>
      <c r="CM101" s="817"/>
      <c r="CN101" s="817"/>
      <c r="CO101" s="817"/>
      <c r="CP101" s="817"/>
      <c r="CQ101" s="817"/>
      <c r="CR101" s="817"/>
      <c r="CS101" s="817"/>
      <c r="CT101" s="817"/>
      <c r="CU101" s="817"/>
      <c r="CV101" s="817"/>
      <c r="CW101" s="817"/>
      <c r="CX101" s="817"/>
      <c r="CY101" s="817"/>
      <c r="CZ101" s="817"/>
      <c r="DA101" s="817"/>
      <c r="DB101" s="817"/>
      <c r="DC101" s="817"/>
      <c r="DD101" s="817"/>
      <c r="DE101" s="817"/>
      <c r="DF101" s="817"/>
      <c r="DG101" s="817"/>
      <c r="DH101" s="817"/>
      <c r="DI101" s="817"/>
      <c r="DJ101" s="817"/>
      <c r="DK101" s="817"/>
      <c r="DL101" s="817"/>
      <c r="DM101" s="817"/>
      <c r="DN101" s="817"/>
      <c r="DO101" s="817"/>
      <c r="DP101" s="817"/>
      <c r="DQ101" s="817"/>
      <c r="DR101" s="817"/>
      <c r="DS101" s="817"/>
      <c r="DT101" s="817"/>
      <c r="DU101" s="817"/>
      <c r="DV101" s="817"/>
      <c r="DW101" s="817"/>
      <c r="DX101" s="817"/>
      <c r="DY101" s="817"/>
      <c r="DZ101" s="817"/>
      <c r="EA101" s="817"/>
      <c r="EB101" s="817"/>
      <c r="EC101" s="817"/>
      <c r="ED101" s="817"/>
      <c r="EE101" s="817"/>
      <c r="EF101" s="817"/>
      <c r="EG101" s="817"/>
      <c r="EH101" s="817"/>
      <c r="EI101" s="817"/>
      <c r="EJ101" s="817"/>
    </row>
    <row r="102" spans="1:140" s="662" customFormat="1" ht="47.25">
      <c r="A102" s="557" t="s">
        <v>77</v>
      </c>
      <c r="B102" s="557"/>
      <c r="C102" s="557"/>
      <c r="D102" s="557"/>
      <c r="E102" s="557"/>
      <c r="F102" s="670"/>
      <c r="G102" s="559"/>
      <c r="H102" s="671"/>
      <c r="I102" s="561"/>
      <c r="J102" s="672"/>
      <c r="K102" s="673"/>
      <c r="L102" s="674"/>
      <c r="M102" s="675"/>
      <c r="N102" s="675"/>
      <c r="O102" s="564"/>
      <c r="P102" s="563"/>
      <c r="Q102" s="563"/>
      <c r="R102" s="563"/>
      <c r="S102" s="563"/>
      <c r="T102" s="563"/>
      <c r="U102" s="676"/>
      <c r="V102" s="563"/>
      <c r="W102" s="563"/>
      <c r="X102" s="563"/>
      <c r="Y102" s="563"/>
      <c r="Z102" s="676"/>
      <c r="AA102" s="675"/>
      <c r="AB102" s="675"/>
      <c r="AC102" s="675"/>
      <c r="AD102" s="675"/>
      <c r="AE102" s="676"/>
      <c r="AF102" s="543"/>
      <c r="AG102" s="837"/>
      <c r="AH102" s="837"/>
      <c r="AI102" s="837"/>
      <c r="AJ102" s="837"/>
      <c r="AK102" s="837"/>
      <c r="AL102" s="818"/>
      <c r="AM102" s="816"/>
      <c r="AN102" s="817"/>
      <c r="AO102" s="817"/>
      <c r="AP102" s="818"/>
      <c r="AQ102" s="838"/>
      <c r="AR102" s="817"/>
      <c r="AS102" s="817"/>
      <c r="AT102" s="817"/>
      <c r="AU102" s="817"/>
      <c r="AV102" s="817"/>
      <c r="AW102" s="817"/>
      <c r="AX102" s="817"/>
      <c r="AY102" s="817"/>
      <c r="AZ102" s="817"/>
      <c r="BA102" s="817"/>
      <c r="BB102" s="817"/>
      <c r="BC102" s="817"/>
      <c r="BD102" s="817"/>
      <c r="BE102" s="817"/>
      <c r="BF102" s="817"/>
      <c r="BG102" s="817"/>
      <c r="BH102" s="817"/>
      <c r="BI102" s="817"/>
      <c r="BJ102" s="817"/>
      <c r="BK102" s="817"/>
      <c r="BL102" s="817"/>
      <c r="BM102" s="817"/>
      <c r="BN102" s="817"/>
      <c r="BO102" s="817"/>
      <c r="BP102" s="817"/>
      <c r="BQ102" s="817"/>
      <c r="BR102" s="817"/>
      <c r="BS102" s="817"/>
      <c r="BT102" s="817"/>
      <c r="BU102" s="817"/>
      <c r="BV102" s="817"/>
      <c r="BW102" s="817"/>
      <c r="BX102" s="817"/>
      <c r="BY102" s="817"/>
      <c r="BZ102" s="817"/>
      <c r="CA102" s="817"/>
      <c r="CB102" s="817"/>
      <c r="CC102" s="817"/>
      <c r="CD102" s="817"/>
      <c r="CE102" s="817"/>
      <c r="CF102" s="817"/>
      <c r="CG102" s="817"/>
      <c r="CH102" s="817"/>
      <c r="CI102" s="817"/>
      <c r="CJ102" s="817"/>
      <c r="CK102" s="817"/>
      <c r="CL102" s="817"/>
      <c r="CM102" s="817"/>
      <c r="CN102" s="817"/>
      <c r="CO102" s="817"/>
      <c r="CP102" s="817"/>
      <c r="CQ102" s="817"/>
      <c r="CR102" s="817"/>
      <c r="CS102" s="817"/>
      <c r="CT102" s="817"/>
      <c r="CU102" s="817"/>
      <c r="CV102" s="817"/>
      <c r="CW102" s="817"/>
      <c r="CX102" s="817"/>
      <c r="CY102" s="817"/>
      <c r="CZ102" s="817"/>
      <c r="DA102" s="817"/>
      <c r="DB102" s="817"/>
      <c r="DC102" s="817"/>
      <c r="DD102" s="817"/>
      <c r="DE102" s="817"/>
      <c r="DF102" s="817"/>
      <c r="DG102" s="817"/>
      <c r="DH102" s="817"/>
      <c r="DI102" s="817"/>
      <c r="DJ102" s="817"/>
      <c r="DK102" s="817"/>
      <c r="DL102" s="817"/>
      <c r="DM102" s="817"/>
      <c r="DN102" s="817"/>
      <c r="DO102" s="817"/>
      <c r="DP102" s="817"/>
      <c r="DQ102" s="817"/>
      <c r="DR102" s="817"/>
      <c r="DS102" s="817"/>
      <c r="DT102" s="817"/>
      <c r="DU102" s="817"/>
      <c r="DV102" s="817"/>
      <c r="DW102" s="817"/>
      <c r="DX102" s="817"/>
      <c r="DY102" s="817"/>
      <c r="DZ102" s="817"/>
      <c r="EA102" s="817"/>
      <c r="EB102" s="817"/>
      <c r="EC102" s="817"/>
      <c r="ED102" s="817"/>
      <c r="EE102" s="817"/>
      <c r="EF102" s="817"/>
      <c r="EG102" s="817"/>
      <c r="EH102" s="817"/>
      <c r="EI102" s="817"/>
      <c r="EJ102" s="817"/>
    </row>
    <row r="103" spans="1:140" s="567" customFormat="1" ht="60">
      <c r="A103" s="600" t="s">
        <v>136</v>
      </c>
      <c r="B103" s="763" t="s">
        <v>791</v>
      </c>
      <c r="C103" s="842" t="s">
        <v>961</v>
      </c>
      <c r="D103" s="600">
        <v>1</v>
      </c>
      <c r="E103" s="600" t="s">
        <v>352</v>
      </c>
      <c r="F103" s="583">
        <v>51399</v>
      </c>
      <c r="G103" s="584">
        <v>175</v>
      </c>
      <c r="H103" s="658"/>
      <c r="I103" s="586">
        <f>J103/G103</f>
        <v>51399</v>
      </c>
      <c r="J103" s="587">
        <f>M103/BudgetYears</f>
        <v>8994825</v>
      </c>
      <c r="K103" s="606">
        <v>1</v>
      </c>
      <c r="L103" s="607">
        <v>0</v>
      </c>
      <c r="M103" s="590">
        <f>(F103*G103)*(BudgetYears/K103)</f>
        <v>53968950</v>
      </c>
      <c r="N103" s="590">
        <f>(M103)-(L103*3)</f>
        <v>53968950</v>
      </c>
      <c r="O103" s="591" t="s">
        <v>18</v>
      </c>
      <c r="P103" s="590">
        <f>IF($O103="S/L or L",$M103,0)</f>
        <v>53968950</v>
      </c>
      <c r="Q103" s="590">
        <f>IF($O103="L",$M103,0)</f>
        <v>0</v>
      </c>
      <c r="R103" s="590">
        <f>IF($O103="S",$M103,0)</f>
        <v>0</v>
      </c>
      <c r="S103" s="590">
        <f>IF($O103="F",$M103,0)</f>
        <v>0</v>
      </c>
      <c r="T103" s="590">
        <f>SUM(P103:S103)</f>
        <v>53968950</v>
      </c>
      <c r="U103" s="592"/>
      <c r="V103" s="590">
        <f>IF($O103="S/L or L",$J103,0)</f>
        <v>8994825</v>
      </c>
      <c r="W103" s="590">
        <f>IF($O103="L",$J103,0)</f>
        <v>0</v>
      </c>
      <c r="X103" s="590">
        <f>IF($O103="S",$J103,0)</f>
        <v>0</v>
      </c>
      <c r="Y103" s="590">
        <f>IF($O103="F",$J103,0)</f>
        <v>0</v>
      </c>
      <c r="Z103" s="593">
        <f>SUM(V103:Y103)</f>
        <v>8994825</v>
      </c>
      <c r="AA103" s="590">
        <f>IF($O103="S/L or L",$L103,0)</f>
        <v>0</v>
      </c>
      <c r="AB103" s="590">
        <f>IF($O103="L",$L103,0)</f>
        <v>0</v>
      </c>
      <c r="AC103" s="590">
        <f>IF($O103="S",$L103,0)</f>
        <v>0</v>
      </c>
      <c r="AD103" s="590">
        <f>IF($O103="F",$L103,0)</f>
        <v>0</v>
      </c>
      <c r="AE103" s="593">
        <f>SUM(AA103:AD103)</f>
        <v>0</v>
      </c>
      <c r="AF103" s="543"/>
      <c r="AG103" s="837"/>
      <c r="AH103" s="837"/>
      <c r="AI103" s="837"/>
      <c r="AJ103" s="837"/>
      <c r="AK103" s="837"/>
      <c r="AL103" s="818"/>
      <c r="AM103" s="816"/>
      <c r="AN103" s="817"/>
      <c r="AO103" s="817"/>
      <c r="AP103" s="818"/>
      <c r="AQ103" s="838"/>
      <c r="AR103" s="817"/>
      <c r="AS103" s="817"/>
      <c r="AT103" s="817"/>
      <c r="AU103" s="817"/>
      <c r="AV103" s="817"/>
      <c r="AW103" s="817"/>
      <c r="AX103" s="817"/>
      <c r="AY103" s="817"/>
      <c r="AZ103" s="817"/>
      <c r="BA103" s="817"/>
      <c r="BB103" s="817"/>
      <c r="BC103" s="817"/>
      <c r="BD103" s="817"/>
      <c r="BE103" s="817"/>
      <c r="BF103" s="817"/>
      <c r="BG103" s="817"/>
      <c r="BH103" s="817"/>
      <c r="BI103" s="817"/>
      <c r="BJ103" s="817"/>
      <c r="BK103" s="817"/>
      <c r="BL103" s="817"/>
      <c r="BM103" s="817"/>
      <c r="BN103" s="817"/>
      <c r="BO103" s="817"/>
      <c r="BP103" s="817"/>
      <c r="BQ103" s="817"/>
      <c r="BR103" s="817"/>
      <c r="BS103" s="817"/>
      <c r="BT103" s="817"/>
      <c r="BU103" s="817"/>
      <c r="BV103" s="817"/>
      <c r="BW103" s="817"/>
      <c r="BX103" s="817"/>
      <c r="BY103" s="817"/>
      <c r="BZ103" s="817"/>
      <c r="CA103" s="817"/>
      <c r="CB103" s="817"/>
      <c r="CC103" s="817"/>
      <c r="CD103" s="817"/>
      <c r="CE103" s="817"/>
      <c r="CF103" s="817"/>
      <c r="CG103" s="817"/>
      <c r="CH103" s="817"/>
      <c r="CI103" s="817"/>
      <c r="CJ103" s="817"/>
      <c r="CK103" s="817"/>
      <c r="CL103" s="817"/>
      <c r="CM103" s="817"/>
      <c r="CN103" s="817"/>
      <c r="CO103" s="817"/>
      <c r="CP103" s="817"/>
      <c r="CQ103" s="817"/>
      <c r="CR103" s="817"/>
      <c r="CS103" s="817"/>
      <c r="CT103" s="817"/>
      <c r="CU103" s="817"/>
      <c r="CV103" s="817"/>
      <c r="CW103" s="817"/>
      <c r="CX103" s="817"/>
      <c r="CY103" s="817"/>
      <c r="CZ103" s="817"/>
      <c r="DA103" s="817"/>
      <c r="DB103" s="817"/>
      <c r="DC103" s="817"/>
      <c r="DD103" s="817"/>
      <c r="DE103" s="817"/>
      <c r="DF103" s="817"/>
      <c r="DG103" s="817"/>
      <c r="DH103" s="817"/>
      <c r="DI103" s="817"/>
      <c r="DJ103" s="817"/>
      <c r="DK103" s="817"/>
      <c r="DL103" s="817"/>
      <c r="DM103" s="817"/>
      <c r="DN103" s="817"/>
      <c r="DO103" s="817"/>
      <c r="DP103" s="817"/>
      <c r="DQ103" s="817"/>
      <c r="DR103" s="817"/>
      <c r="DS103" s="817"/>
      <c r="DT103" s="817"/>
      <c r="DU103" s="817"/>
      <c r="DV103" s="817"/>
      <c r="DW103" s="817"/>
      <c r="DX103" s="817"/>
      <c r="DY103" s="817"/>
      <c r="DZ103" s="817"/>
      <c r="EA103" s="817"/>
      <c r="EB103" s="817"/>
      <c r="EC103" s="817"/>
      <c r="ED103" s="817"/>
      <c r="EE103" s="817"/>
      <c r="EF103" s="817"/>
      <c r="EG103" s="817"/>
      <c r="EH103" s="817"/>
      <c r="EI103" s="817"/>
      <c r="EJ103" s="817"/>
    </row>
    <row r="104" spans="1:140" ht="60">
      <c r="A104" s="600" t="s">
        <v>889</v>
      </c>
      <c r="B104" s="600"/>
      <c r="C104" s="842" t="s">
        <v>961</v>
      </c>
      <c r="D104" s="600">
        <v>1</v>
      </c>
      <c r="E104" s="600" t="s">
        <v>350</v>
      </c>
      <c r="F104" s="645">
        <v>291</v>
      </c>
      <c r="G104" s="584">
        <v>1372</v>
      </c>
      <c r="H104" s="658"/>
      <c r="I104" s="586">
        <f>J104/G104</f>
        <v>291</v>
      </c>
      <c r="J104" s="587">
        <f>M104/BudgetYears</f>
        <v>399252</v>
      </c>
      <c r="K104" s="606">
        <v>1</v>
      </c>
      <c r="L104" s="607">
        <v>0</v>
      </c>
      <c r="M104" s="590">
        <f>(F104*G104)*(BudgetYears/K104)</f>
        <v>2395512</v>
      </c>
      <c r="N104" s="590">
        <f>(M104)-(L104*3)</f>
        <v>2395512</v>
      </c>
      <c r="O104" s="591" t="s">
        <v>18</v>
      </c>
      <c r="P104" s="590">
        <f>IF($O104="S/L or L",$M104,0)</f>
        <v>2395512</v>
      </c>
      <c r="Q104" s="590">
        <f>IF($O104="L",$M104,0)</f>
        <v>0</v>
      </c>
      <c r="R104" s="590">
        <f>IF($O104="S",$M104,0)</f>
        <v>0</v>
      </c>
      <c r="S104" s="590">
        <f>IF($O104="F",$M104,0)</f>
        <v>0</v>
      </c>
      <c r="T104" s="590">
        <f>SUM(P104:S104)</f>
        <v>2395512</v>
      </c>
      <c r="U104" s="592"/>
      <c r="V104" s="590">
        <f>IF($O104="S/L or L",$J104,0)</f>
        <v>399252</v>
      </c>
      <c r="W104" s="590">
        <f>IF($O104="L",$J104,0)</f>
        <v>0</v>
      </c>
      <c r="X104" s="590">
        <f>IF($O104="S",$J104,0)</f>
        <v>0</v>
      </c>
      <c r="Y104" s="590">
        <f>IF($O104="F",$J104,0)</f>
        <v>0</v>
      </c>
      <c r="Z104" s="593">
        <f>SUM(V104:Y104)</f>
        <v>399252</v>
      </c>
      <c r="AA104" s="590">
        <f>IF($O104="S/L or L",$L104,0)</f>
        <v>0</v>
      </c>
      <c r="AB104" s="590">
        <f>IF($O104="L",$L104,0)</f>
        <v>0</v>
      </c>
      <c r="AC104" s="590">
        <f>IF($O104="S",$L104,0)</f>
        <v>0</v>
      </c>
      <c r="AD104" s="590">
        <f>IF($O104="F",$L104,0)</f>
        <v>0</v>
      </c>
      <c r="AE104" s="593">
        <f>SUM(AA104:AD104)</f>
        <v>0</v>
      </c>
      <c r="AF104" s="543"/>
      <c r="AG104" s="837"/>
      <c r="AH104" s="837"/>
      <c r="AI104" s="837"/>
      <c r="AJ104" s="837"/>
      <c r="AK104" s="837"/>
      <c r="AL104" s="818"/>
      <c r="AM104" s="816"/>
      <c r="AN104" s="817"/>
      <c r="AO104" s="817"/>
      <c r="AP104" s="818"/>
      <c r="AQ104" s="838"/>
      <c r="AR104" s="817"/>
      <c r="AS104" s="817"/>
      <c r="AT104" s="817"/>
      <c r="AU104" s="817"/>
      <c r="AV104" s="817"/>
      <c r="AW104" s="817"/>
      <c r="AX104" s="817"/>
      <c r="AY104" s="817"/>
      <c r="AZ104" s="817"/>
      <c r="BA104" s="817"/>
      <c r="BB104" s="817"/>
      <c r="BC104" s="817"/>
      <c r="BD104" s="817"/>
      <c r="BE104" s="817"/>
      <c r="BF104" s="817"/>
      <c r="BG104" s="817"/>
      <c r="BH104" s="817"/>
      <c r="BI104" s="817"/>
      <c r="BJ104" s="817"/>
      <c r="BK104" s="817"/>
      <c r="BL104" s="817"/>
      <c r="BM104" s="817"/>
      <c r="BN104" s="817"/>
      <c r="BO104" s="817"/>
      <c r="BP104" s="817"/>
      <c r="BQ104" s="817"/>
      <c r="BR104" s="817"/>
      <c r="BS104" s="817"/>
      <c r="BT104" s="817"/>
      <c r="BU104" s="817"/>
      <c r="BV104" s="817"/>
      <c r="BW104" s="817"/>
      <c r="BX104" s="817"/>
      <c r="BY104" s="817"/>
      <c r="BZ104" s="817"/>
      <c r="CA104" s="817"/>
      <c r="CB104" s="817"/>
      <c r="CC104" s="817"/>
      <c r="CD104" s="817"/>
      <c r="CE104" s="817"/>
      <c r="CF104" s="817"/>
      <c r="CG104" s="817"/>
      <c r="CH104" s="817"/>
      <c r="CI104" s="817"/>
      <c r="CJ104" s="817"/>
      <c r="CK104" s="817"/>
      <c r="CL104" s="817"/>
      <c r="CM104" s="817"/>
      <c r="CN104" s="817"/>
      <c r="CO104" s="817"/>
      <c r="CP104" s="817"/>
      <c r="CQ104" s="817"/>
      <c r="CR104" s="817"/>
      <c r="CS104" s="817"/>
      <c r="CT104" s="817"/>
      <c r="CU104" s="817"/>
      <c r="CV104" s="817"/>
      <c r="CW104" s="817"/>
      <c r="CX104" s="817"/>
      <c r="CY104" s="817"/>
      <c r="CZ104" s="817"/>
      <c r="DA104" s="817"/>
      <c r="DB104" s="817"/>
      <c r="DC104" s="817"/>
      <c r="DD104" s="817"/>
      <c r="DE104" s="817"/>
      <c r="DF104" s="817"/>
      <c r="DG104" s="817"/>
      <c r="DH104" s="817"/>
      <c r="DI104" s="817"/>
      <c r="DJ104" s="817"/>
      <c r="DK104" s="817"/>
      <c r="DL104" s="817"/>
      <c r="DM104" s="817"/>
      <c r="DN104" s="817"/>
      <c r="DO104" s="817"/>
      <c r="DP104" s="817"/>
      <c r="DQ104" s="817"/>
      <c r="DR104" s="817"/>
      <c r="DS104" s="817"/>
      <c r="DT104" s="817"/>
      <c r="DU104" s="817"/>
      <c r="DV104" s="817"/>
      <c r="DW104" s="817"/>
      <c r="DX104" s="817"/>
      <c r="DY104" s="817"/>
      <c r="DZ104" s="817"/>
      <c r="EA104" s="817"/>
      <c r="EB104" s="817"/>
      <c r="EC104" s="817"/>
      <c r="ED104" s="817"/>
      <c r="EE104" s="817"/>
      <c r="EF104" s="817"/>
      <c r="EG104" s="817"/>
      <c r="EH104" s="817"/>
      <c r="EI104" s="817"/>
      <c r="EJ104" s="817"/>
    </row>
    <row r="105" spans="1:140" s="603" customFormat="1" ht="15">
      <c r="A105" s="600"/>
      <c r="B105" s="600"/>
      <c r="C105" s="600"/>
      <c r="D105" s="600"/>
      <c r="E105" s="600"/>
      <c r="F105" s="645"/>
      <c r="G105" s="584"/>
      <c r="H105" s="586"/>
      <c r="I105" s="586"/>
      <c r="J105" s="587"/>
      <c r="K105" s="606"/>
      <c r="L105" s="607"/>
      <c r="M105" s="590"/>
      <c r="N105" s="590"/>
      <c r="O105" s="591"/>
      <c r="P105" s="590"/>
      <c r="Q105" s="590"/>
      <c r="R105" s="590"/>
      <c r="S105" s="590"/>
      <c r="T105" s="590"/>
      <c r="U105" s="592"/>
      <c r="V105" s="590"/>
      <c r="W105" s="590"/>
      <c r="X105" s="590"/>
      <c r="Y105" s="590"/>
      <c r="Z105" s="592"/>
      <c r="AA105" s="590"/>
      <c r="AB105" s="590"/>
      <c r="AC105" s="590"/>
      <c r="AD105" s="590"/>
      <c r="AE105" s="592"/>
      <c r="AF105" s="599"/>
      <c r="AG105" s="758"/>
      <c r="AH105" s="758"/>
      <c r="AI105" s="759"/>
      <c r="AJ105" s="758"/>
      <c r="AK105" s="758"/>
      <c r="AL105" s="734"/>
      <c r="AM105" s="800"/>
      <c r="AN105" s="569"/>
      <c r="AO105" s="569"/>
      <c r="AP105" s="734"/>
      <c r="AQ105" s="575"/>
      <c r="AR105" s="569"/>
      <c r="AS105" s="569"/>
      <c r="AT105" s="569"/>
      <c r="AU105" s="569"/>
      <c r="AV105" s="569"/>
      <c r="AW105" s="569"/>
      <c r="AX105" s="569"/>
      <c r="AY105" s="569"/>
      <c r="AZ105" s="569"/>
      <c r="BA105" s="569"/>
      <c r="BB105" s="569"/>
      <c r="BC105" s="569"/>
      <c r="BD105" s="569"/>
      <c r="BE105" s="569"/>
      <c r="BF105" s="569"/>
      <c r="BG105" s="569"/>
      <c r="BH105" s="569"/>
      <c r="BI105" s="569"/>
      <c r="BJ105" s="569"/>
      <c r="BK105" s="569"/>
      <c r="BL105" s="569"/>
      <c r="BM105" s="569"/>
      <c r="BN105" s="569"/>
      <c r="BO105" s="569"/>
      <c r="BP105" s="569"/>
      <c r="BQ105" s="569"/>
      <c r="BR105" s="569"/>
      <c r="BS105" s="569"/>
      <c r="BT105" s="569"/>
      <c r="BU105" s="569"/>
      <c r="BV105" s="569"/>
      <c r="BW105" s="569"/>
      <c r="BX105" s="569"/>
      <c r="BY105" s="569"/>
      <c r="BZ105" s="569"/>
      <c r="CA105" s="569"/>
      <c r="CB105" s="569"/>
      <c r="CC105" s="569"/>
      <c r="CD105" s="569"/>
      <c r="CE105" s="569"/>
      <c r="CF105" s="569"/>
      <c r="CG105" s="569"/>
      <c r="CH105" s="569"/>
      <c r="CI105" s="569"/>
      <c r="CJ105" s="569"/>
      <c r="CK105" s="569"/>
      <c r="CL105" s="569"/>
      <c r="CM105" s="569"/>
      <c r="CN105" s="569"/>
      <c r="CO105" s="569"/>
      <c r="CP105" s="569"/>
      <c r="CQ105" s="569"/>
      <c r="CR105" s="569"/>
      <c r="CS105" s="569"/>
      <c r="CT105" s="569"/>
      <c r="CU105" s="569"/>
      <c r="CV105" s="569"/>
      <c r="CW105" s="569"/>
      <c r="CX105" s="569"/>
      <c r="CY105" s="569"/>
      <c r="CZ105" s="569"/>
      <c r="DA105" s="569"/>
      <c r="DB105" s="569"/>
      <c r="DC105" s="569"/>
      <c r="DD105" s="569"/>
      <c r="DE105" s="569"/>
      <c r="DF105" s="569"/>
      <c r="DG105" s="569"/>
      <c r="DH105" s="569"/>
      <c r="DI105" s="569"/>
      <c r="DJ105" s="569"/>
      <c r="DK105" s="569"/>
      <c r="DL105" s="569"/>
      <c r="DM105" s="569"/>
      <c r="DN105" s="569"/>
      <c r="DO105" s="569"/>
      <c r="DP105" s="569"/>
      <c r="DQ105" s="569"/>
      <c r="DR105" s="569"/>
      <c r="DS105" s="569"/>
      <c r="DT105" s="569"/>
      <c r="DU105" s="569"/>
      <c r="DV105" s="569"/>
      <c r="DW105" s="569"/>
      <c r="DX105" s="569"/>
      <c r="DY105" s="569"/>
      <c r="DZ105" s="569"/>
      <c r="EA105" s="569"/>
      <c r="EB105" s="569"/>
      <c r="EC105" s="569"/>
      <c r="ED105" s="569"/>
      <c r="EE105" s="569"/>
      <c r="EF105" s="569"/>
      <c r="EG105" s="569"/>
      <c r="EH105" s="569"/>
      <c r="EI105" s="569"/>
      <c r="EJ105" s="569"/>
    </row>
    <row r="106" spans="1:140" s="603" customFormat="1" ht="45">
      <c r="A106" s="600" t="s">
        <v>891</v>
      </c>
      <c r="B106" s="763" t="s">
        <v>793</v>
      </c>
      <c r="C106" s="842" t="s">
        <v>962</v>
      </c>
      <c r="D106" s="600">
        <v>1</v>
      </c>
      <c r="E106" s="600" t="s">
        <v>350</v>
      </c>
      <c r="F106" s="645">
        <v>9420</v>
      </c>
      <c r="G106" s="584">
        <v>1372</v>
      </c>
      <c r="H106" s="586"/>
      <c r="I106" s="586"/>
      <c r="J106" s="587">
        <f>SUM(F106*G106)/K106</f>
        <v>12924240</v>
      </c>
      <c r="K106" s="606">
        <v>1</v>
      </c>
      <c r="L106" s="607"/>
      <c r="M106" s="590"/>
      <c r="N106" s="590"/>
      <c r="O106" s="591" t="s">
        <v>83</v>
      </c>
      <c r="P106" s="590"/>
      <c r="Q106" s="590"/>
      <c r="R106" s="590"/>
      <c r="S106" s="590"/>
      <c r="T106" s="590"/>
      <c r="U106" s="592"/>
      <c r="V106" s="590"/>
      <c r="W106" s="590"/>
      <c r="X106" s="590"/>
      <c r="Y106" s="590"/>
      <c r="Z106" s="592"/>
      <c r="AA106" s="590"/>
      <c r="AB106" s="590"/>
      <c r="AC106" s="590"/>
      <c r="AD106" s="590"/>
      <c r="AE106" s="592"/>
      <c r="AF106" s="599"/>
      <c r="AG106" s="758"/>
      <c r="AH106" s="758"/>
      <c r="AI106" s="758"/>
      <c r="AJ106" s="758"/>
      <c r="AK106" s="758"/>
      <c r="AL106" s="734"/>
      <c r="AM106" s="800"/>
      <c r="AN106" s="569"/>
      <c r="AO106" s="569"/>
      <c r="AP106" s="734"/>
      <c r="AQ106" s="575"/>
      <c r="AR106" s="569"/>
      <c r="AS106" s="569"/>
      <c r="AT106" s="569"/>
      <c r="AU106" s="569"/>
      <c r="AV106" s="569"/>
      <c r="AW106" s="569"/>
      <c r="AX106" s="569"/>
      <c r="AY106" s="569"/>
      <c r="AZ106" s="569"/>
      <c r="BA106" s="569"/>
      <c r="BB106" s="569"/>
      <c r="BC106" s="569"/>
      <c r="BD106" s="569"/>
      <c r="BE106" s="569"/>
      <c r="BF106" s="569"/>
      <c r="BG106" s="569"/>
      <c r="BH106" s="569"/>
      <c r="BI106" s="569"/>
      <c r="BJ106" s="569"/>
      <c r="BK106" s="569"/>
      <c r="BL106" s="569"/>
      <c r="BM106" s="569"/>
      <c r="BN106" s="569"/>
      <c r="BO106" s="569"/>
      <c r="BP106" s="569"/>
      <c r="BQ106" s="569"/>
      <c r="BR106" s="569"/>
      <c r="BS106" s="569"/>
      <c r="BT106" s="569"/>
      <c r="BU106" s="569"/>
      <c r="BV106" s="569"/>
      <c r="BW106" s="569"/>
      <c r="BX106" s="569"/>
      <c r="BY106" s="569"/>
      <c r="BZ106" s="569"/>
      <c r="CA106" s="569"/>
      <c r="CB106" s="569"/>
      <c r="CC106" s="569"/>
      <c r="CD106" s="569"/>
      <c r="CE106" s="569"/>
      <c r="CF106" s="569"/>
      <c r="CG106" s="569"/>
      <c r="CH106" s="569"/>
      <c r="CI106" s="569"/>
      <c r="CJ106" s="569"/>
      <c r="CK106" s="569"/>
      <c r="CL106" s="569"/>
      <c r="CM106" s="569"/>
      <c r="CN106" s="569"/>
      <c r="CO106" s="569"/>
      <c r="CP106" s="569"/>
      <c r="CQ106" s="569"/>
      <c r="CR106" s="569"/>
      <c r="CS106" s="569"/>
      <c r="CT106" s="569"/>
      <c r="CU106" s="569"/>
      <c r="CV106" s="569"/>
      <c r="CW106" s="569"/>
      <c r="CX106" s="569"/>
      <c r="CY106" s="569"/>
      <c r="CZ106" s="569"/>
      <c r="DA106" s="569"/>
      <c r="DB106" s="569"/>
      <c r="DC106" s="569"/>
      <c r="DD106" s="569"/>
      <c r="DE106" s="569"/>
      <c r="DF106" s="569"/>
      <c r="DG106" s="569"/>
      <c r="DH106" s="569"/>
      <c r="DI106" s="569"/>
      <c r="DJ106" s="569"/>
      <c r="DK106" s="569"/>
      <c r="DL106" s="569"/>
      <c r="DM106" s="569"/>
      <c r="DN106" s="569"/>
      <c r="DO106" s="569"/>
      <c r="DP106" s="569"/>
      <c r="DQ106" s="569"/>
      <c r="DR106" s="569"/>
      <c r="DS106" s="569"/>
      <c r="DT106" s="569"/>
      <c r="DU106" s="569"/>
      <c r="DV106" s="569"/>
      <c r="DW106" s="569"/>
      <c r="DX106" s="569"/>
      <c r="DY106" s="569"/>
      <c r="DZ106" s="569"/>
      <c r="EA106" s="569"/>
      <c r="EB106" s="569"/>
      <c r="EC106" s="569"/>
      <c r="ED106" s="569"/>
      <c r="EE106" s="569"/>
      <c r="EF106" s="569"/>
      <c r="EG106" s="569"/>
      <c r="EH106" s="569"/>
      <c r="EI106" s="569"/>
      <c r="EJ106" s="569"/>
    </row>
    <row r="107" spans="1:140" s="662" customFormat="1" ht="45">
      <c r="A107" s="600" t="s">
        <v>892</v>
      </c>
      <c r="B107" s="763" t="s">
        <v>794</v>
      </c>
      <c r="C107" s="842" t="s">
        <v>962</v>
      </c>
      <c r="D107" s="600">
        <v>1</v>
      </c>
      <c r="E107" s="754" t="s">
        <v>694</v>
      </c>
      <c r="F107" s="645">
        <v>480</v>
      </c>
      <c r="G107" s="584">
        <f>Number_of_Classrooms/8</f>
        <v>5367.375</v>
      </c>
      <c r="H107" s="643"/>
      <c r="I107" s="586">
        <f>J107/G107</f>
        <v>480</v>
      </c>
      <c r="J107" s="587">
        <f>M107/BudgetYears</f>
        <v>2576340</v>
      </c>
      <c r="K107" s="606">
        <v>1</v>
      </c>
      <c r="L107" s="607">
        <f>(USFInternal)*J107</f>
        <v>1803438</v>
      </c>
      <c r="M107" s="590">
        <f>(F107*G107)*(BudgetYears/K107)</f>
        <v>15458040</v>
      </c>
      <c r="N107" s="590">
        <f>(M107)-(L107*3)</f>
        <v>10047726</v>
      </c>
      <c r="O107" s="591" t="s">
        <v>83</v>
      </c>
      <c r="P107" s="590">
        <f>IF($O107="S/L or L",$M107,0)</f>
        <v>0</v>
      </c>
      <c r="Q107" s="590">
        <f>IF($O107="L",$M107,0)</f>
        <v>15458040</v>
      </c>
      <c r="R107" s="590">
        <f>IF($O107="S",$M107,0)</f>
        <v>0</v>
      </c>
      <c r="S107" s="590">
        <f>IF($O107="F",$M107,0)</f>
        <v>0</v>
      </c>
      <c r="T107" s="590">
        <f>SUM(P107:S107)</f>
        <v>15458040</v>
      </c>
      <c r="U107" s="592"/>
      <c r="V107" s="590">
        <f>IF($O107="S/L or L",$J107,0)</f>
        <v>0</v>
      </c>
      <c r="W107" s="590">
        <f>IF($O107="L",$J107,0)</f>
        <v>2576340</v>
      </c>
      <c r="X107" s="590">
        <f>IF($O107="S",$J107,0)</f>
        <v>0</v>
      </c>
      <c r="Y107" s="590">
        <f>IF($O107="F",$J107,0)</f>
        <v>0</v>
      </c>
      <c r="Z107" s="593">
        <f>SUM(V107:Y107)</f>
        <v>2576340</v>
      </c>
      <c r="AA107" s="590">
        <f>IF($O107="S/L or L",$L107,0)</f>
        <v>0</v>
      </c>
      <c r="AB107" s="590">
        <f>IF($O107="L",$L107,0)</f>
        <v>1803438</v>
      </c>
      <c r="AC107" s="590">
        <f>IF($O107="S",$L107,0)</f>
        <v>0</v>
      </c>
      <c r="AD107" s="590">
        <f>IF($O107="F",$L107,0)</f>
        <v>0</v>
      </c>
      <c r="AE107" s="593">
        <f>SUM(AA107:AD107)</f>
        <v>1803438</v>
      </c>
      <c r="AF107" s="677"/>
      <c r="AG107" s="837"/>
      <c r="AH107" s="837"/>
      <c r="AI107" s="837"/>
      <c r="AJ107" s="837"/>
      <c r="AK107" s="837"/>
      <c r="AL107" s="818"/>
      <c r="AM107" s="816"/>
      <c r="AN107" s="817"/>
      <c r="AO107" s="817"/>
      <c r="AP107" s="818"/>
      <c r="AQ107" s="838"/>
      <c r="AR107" s="817"/>
      <c r="AS107" s="817"/>
      <c r="AT107" s="817"/>
      <c r="AU107" s="817"/>
      <c r="AV107" s="817"/>
      <c r="AW107" s="817"/>
      <c r="AX107" s="817"/>
      <c r="AY107" s="817"/>
      <c r="AZ107" s="817"/>
      <c r="BA107" s="817"/>
      <c r="BB107" s="817"/>
      <c r="BC107" s="817"/>
      <c r="BD107" s="817"/>
      <c r="BE107" s="817"/>
      <c r="BF107" s="817"/>
      <c r="BG107" s="817"/>
      <c r="BH107" s="817"/>
      <c r="BI107" s="817"/>
      <c r="BJ107" s="817"/>
      <c r="BK107" s="817"/>
      <c r="BL107" s="817"/>
      <c r="BM107" s="817"/>
      <c r="BN107" s="817"/>
      <c r="BO107" s="817"/>
      <c r="BP107" s="817"/>
      <c r="BQ107" s="817"/>
      <c r="BR107" s="817"/>
      <c r="BS107" s="817"/>
      <c r="BT107" s="817"/>
      <c r="BU107" s="817"/>
      <c r="BV107" s="817"/>
      <c r="BW107" s="817"/>
      <c r="BX107" s="817"/>
      <c r="BY107" s="817"/>
      <c r="BZ107" s="817"/>
      <c r="CA107" s="817"/>
      <c r="CB107" s="817"/>
      <c r="CC107" s="817"/>
      <c r="CD107" s="817"/>
      <c r="CE107" s="817"/>
      <c r="CF107" s="817"/>
      <c r="CG107" s="817"/>
      <c r="CH107" s="817"/>
      <c r="CI107" s="817"/>
      <c r="CJ107" s="817"/>
      <c r="CK107" s="817"/>
      <c r="CL107" s="817"/>
      <c r="CM107" s="817"/>
      <c r="CN107" s="817"/>
      <c r="CO107" s="817"/>
      <c r="CP107" s="817"/>
      <c r="CQ107" s="817"/>
      <c r="CR107" s="817"/>
      <c r="CS107" s="817"/>
      <c r="CT107" s="817"/>
      <c r="CU107" s="817"/>
      <c r="CV107" s="817"/>
      <c r="CW107" s="817"/>
      <c r="CX107" s="817"/>
      <c r="CY107" s="817"/>
      <c r="CZ107" s="817"/>
      <c r="DA107" s="817"/>
      <c r="DB107" s="817"/>
      <c r="DC107" s="817"/>
      <c r="DD107" s="817"/>
      <c r="DE107" s="817"/>
      <c r="DF107" s="817"/>
      <c r="DG107" s="817"/>
      <c r="DH107" s="817"/>
      <c r="DI107" s="817"/>
      <c r="DJ107" s="817"/>
      <c r="DK107" s="817"/>
      <c r="DL107" s="817"/>
      <c r="DM107" s="817"/>
      <c r="DN107" s="817"/>
      <c r="DO107" s="817"/>
      <c r="DP107" s="817"/>
      <c r="DQ107" s="817"/>
      <c r="DR107" s="817"/>
      <c r="DS107" s="817"/>
      <c r="DT107" s="817"/>
      <c r="DU107" s="817"/>
      <c r="DV107" s="817"/>
      <c r="DW107" s="817"/>
      <c r="DX107" s="817"/>
      <c r="DY107" s="817"/>
      <c r="DZ107" s="817"/>
      <c r="EA107" s="817"/>
      <c r="EB107" s="817"/>
      <c r="EC107" s="817"/>
      <c r="ED107" s="817"/>
      <c r="EE107" s="817"/>
      <c r="EF107" s="817"/>
      <c r="EG107" s="817"/>
      <c r="EH107" s="817"/>
      <c r="EI107" s="817"/>
      <c r="EJ107" s="817"/>
    </row>
    <row r="108" spans="1:140" s="662" customFormat="1" ht="135">
      <c r="A108" s="600" t="s">
        <v>894</v>
      </c>
      <c r="B108" s="763" t="s">
        <v>748</v>
      </c>
      <c r="C108" s="842" t="s">
        <v>961</v>
      </c>
      <c r="D108" s="600">
        <v>1</v>
      </c>
      <c r="E108" s="765" t="s">
        <v>695</v>
      </c>
      <c r="F108" s="645">
        <v>250</v>
      </c>
      <c r="G108" s="609">
        <v>50395</v>
      </c>
      <c r="H108" s="658"/>
      <c r="I108" s="586">
        <f>J108/G108</f>
        <v>250</v>
      </c>
      <c r="J108" s="587">
        <f>M108/BudgetYears</f>
        <v>12598750</v>
      </c>
      <c r="K108" s="606">
        <v>1</v>
      </c>
      <c r="L108" s="607">
        <v>0</v>
      </c>
      <c r="M108" s="590">
        <f>(F108*G108)*(BudgetYears/K108)</f>
        <v>75592500</v>
      </c>
      <c r="N108" s="590">
        <f>(M108)-(L108*3)</f>
        <v>75592500</v>
      </c>
      <c r="O108" s="591" t="s">
        <v>18</v>
      </c>
      <c r="P108" s="590">
        <f>IF($O108="S/L or L",$M108,0)</f>
        <v>75592500</v>
      </c>
      <c r="Q108" s="590">
        <f>IF($O108="L",$M108,0)</f>
        <v>0</v>
      </c>
      <c r="R108" s="590">
        <f>IF($O108="S",$M108,0)</f>
        <v>0</v>
      </c>
      <c r="S108" s="590">
        <f>IF($O108="F",$M108,0)</f>
        <v>0</v>
      </c>
      <c r="T108" s="590">
        <f>SUM(P108:S108)</f>
        <v>75592500</v>
      </c>
      <c r="U108" s="592"/>
      <c r="V108" s="590">
        <f>IF($O108="S/L or L",$J108,0)</f>
        <v>12598750</v>
      </c>
      <c r="W108" s="590">
        <f>IF($O108="L",$J108,0)</f>
        <v>0</v>
      </c>
      <c r="X108" s="590">
        <f>IF($O108="S",$J108,0)</f>
        <v>0</v>
      </c>
      <c r="Y108" s="590">
        <f>IF($O108="F",$J108,0)</f>
        <v>0</v>
      </c>
      <c r="Z108" s="593">
        <f>SUM(V108:Y108)</f>
        <v>12598750</v>
      </c>
      <c r="AA108" s="590">
        <f>IF($O108="S/L or L",$L108,0)</f>
        <v>0</v>
      </c>
      <c r="AB108" s="590">
        <f>IF($O108="L",$L108,0)</f>
        <v>0</v>
      </c>
      <c r="AC108" s="590">
        <f>IF($O108="S",$L108,0)</f>
        <v>0</v>
      </c>
      <c r="AD108" s="590">
        <f>IF($O108="F",$L108,0)</f>
        <v>0</v>
      </c>
      <c r="AE108" s="593">
        <f>SUM(AA108:AD108)</f>
        <v>0</v>
      </c>
      <c r="AF108" s="543"/>
      <c r="AG108" s="837"/>
      <c r="AH108" s="837"/>
      <c r="AI108" s="837"/>
      <c r="AJ108" s="837"/>
      <c r="AK108" s="837"/>
      <c r="AL108" s="818"/>
      <c r="AM108" s="816"/>
      <c r="AN108" s="817"/>
      <c r="AO108" s="817"/>
      <c r="AP108" s="818"/>
      <c r="AQ108" s="838"/>
      <c r="AR108" s="817"/>
      <c r="AS108" s="817"/>
      <c r="AT108" s="817"/>
      <c r="AU108" s="817"/>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7"/>
      <c r="EA108" s="817"/>
      <c r="EB108" s="817"/>
      <c r="EC108" s="817"/>
      <c r="ED108" s="817"/>
      <c r="EE108" s="817"/>
      <c r="EF108" s="817"/>
      <c r="EG108" s="817"/>
      <c r="EH108" s="817"/>
      <c r="EI108" s="817"/>
      <c r="EJ108" s="817"/>
    </row>
    <row r="109" spans="1:140" s="662" customFormat="1" ht="24.75">
      <c r="A109" s="595" t="s">
        <v>739</v>
      </c>
      <c r="B109" s="600"/>
      <c r="C109" s="600"/>
      <c r="D109" s="600"/>
      <c r="E109" s="595"/>
      <c r="F109" s="583"/>
      <c r="G109" s="609"/>
      <c r="H109" s="658"/>
      <c r="I109" s="586"/>
      <c r="J109" s="587"/>
      <c r="K109" s="606"/>
      <c r="L109" s="607"/>
      <c r="M109" s="590"/>
      <c r="N109" s="590"/>
      <c r="O109" s="591"/>
      <c r="P109" s="590"/>
      <c r="Q109" s="590"/>
      <c r="R109" s="590"/>
      <c r="S109" s="590"/>
      <c r="T109" s="590"/>
      <c r="U109" s="592"/>
      <c r="V109" s="590"/>
      <c r="W109" s="590"/>
      <c r="X109" s="590"/>
      <c r="Y109" s="590"/>
      <c r="Z109" s="593"/>
      <c r="AA109" s="590"/>
      <c r="AB109" s="590"/>
      <c r="AC109" s="590"/>
      <c r="AD109" s="590"/>
      <c r="AE109" s="593"/>
      <c r="AF109" s="543"/>
      <c r="AG109" s="837"/>
      <c r="AH109" s="837"/>
      <c r="AI109" s="837"/>
      <c r="AJ109" s="837"/>
      <c r="AK109" s="837"/>
      <c r="AL109" s="818"/>
      <c r="AM109" s="816"/>
      <c r="AN109" s="817"/>
      <c r="AO109" s="817"/>
      <c r="AP109" s="818"/>
      <c r="AQ109" s="838"/>
      <c r="AR109" s="817"/>
      <c r="AS109" s="817"/>
      <c r="AT109" s="817"/>
      <c r="AU109" s="817"/>
      <c r="AV109" s="817"/>
      <c r="AW109" s="817"/>
      <c r="AX109" s="817"/>
      <c r="AY109" s="817"/>
      <c r="AZ109" s="817"/>
      <c r="BA109" s="817"/>
      <c r="BB109" s="817"/>
      <c r="BC109" s="817"/>
      <c r="BD109" s="817"/>
      <c r="BE109" s="817"/>
      <c r="BF109" s="817"/>
      <c r="BG109" s="817"/>
      <c r="BH109" s="817"/>
      <c r="BI109" s="817"/>
      <c r="BJ109" s="817"/>
      <c r="BK109" s="817"/>
      <c r="BL109" s="817"/>
      <c r="BM109" s="817"/>
      <c r="BN109" s="817"/>
      <c r="BO109" s="817"/>
      <c r="BP109" s="817"/>
      <c r="BQ109" s="817"/>
      <c r="BR109" s="817"/>
      <c r="BS109" s="817"/>
      <c r="BT109" s="817"/>
      <c r="BU109" s="817"/>
      <c r="BV109" s="817"/>
      <c r="BW109" s="817"/>
      <c r="BX109" s="817"/>
      <c r="BY109" s="817"/>
      <c r="BZ109" s="817"/>
      <c r="CA109" s="817"/>
      <c r="CB109" s="817"/>
      <c r="CC109" s="817"/>
      <c r="CD109" s="817"/>
      <c r="CE109" s="817"/>
      <c r="CF109" s="817"/>
      <c r="CG109" s="817"/>
      <c r="CH109" s="817"/>
      <c r="CI109" s="817"/>
      <c r="CJ109" s="817"/>
      <c r="CK109" s="817"/>
      <c r="CL109" s="817"/>
      <c r="CM109" s="817"/>
      <c r="CN109" s="817"/>
      <c r="CO109" s="817"/>
      <c r="CP109" s="817"/>
      <c r="CQ109" s="817"/>
      <c r="CR109" s="817"/>
      <c r="CS109" s="817"/>
      <c r="CT109" s="817"/>
      <c r="CU109" s="817"/>
      <c r="CV109" s="817"/>
      <c r="CW109" s="817"/>
      <c r="CX109" s="817"/>
      <c r="CY109" s="817"/>
      <c r="CZ109" s="817"/>
      <c r="DA109" s="817"/>
      <c r="DB109" s="817"/>
      <c r="DC109" s="817"/>
      <c r="DD109" s="817"/>
      <c r="DE109" s="817"/>
      <c r="DF109" s="817"/>
      <c r="DG109" s="817"/>
      <c r="DH109" s="817"/>
      <c r="DI109" s="817"/>
      <c r="DJ109" s="817"/>
      <c r="DK109" s="817"/>
      <c r="DL109" s="817"/>
      <c r="DM109" s="817"/>
      <c r="DN109" s="817"/>
      <c r="DO109" s="817"/>
      <c r="DP109" s="817"/>
      <c r="DQ109" s="817"/>
      <c r="DR109" s="817"/>
      <c r="DS109" s="817"/>
      <c r="DT109" s="817"/>
      <c r="DU109" s="817"/>
      <c r="DV109" s="817"/>
      <c r="DW109" s="817"/>
      <c r="DX109" s="817"/>
      <c r="DY109" s="817"/>
      <c r="DZ109" s="817"/>
      <c r="EA109" s="817"/>
      <c r="EB109" s="817"/>
      <c r="EC109" s="817"/>
      <c r="ED109" s="817"/>
      <c r="EE109" s="817"/>
      <c r="EF109" s="817"/>
      <c r="EG109" s="817"/>
      <c r="EH109" s="817"/>
      <c r="EI109" s="817"/>
      <c r="EJ109" s="817"/>
    </row>
    <row r="110" spans="1:140" s="662" customFormat="1" ht="15">
      <c r="A110" s="679" t="s">
        <v>85</v>
      </c>
      <c r="B110" s="732"/>
      <c r="C110" s="732"/>
      <c r="D110" s="732"/>
      <c r="E110" s="679"/>
      <c r="F110" s="583"/>
      <c r="G110" s="584"/>
      <c r="H110" s="658"/>
      <c r="I110" s="659">
        <f>SUM(I103:I108)</f>
        <v>52420</v>
      </c>
      <c r="J110" s="659">
        <f>SUM(J103:J108)</f>
        <v>37493407</v>
      </c>
      <c r="K110" s="606"/>
      <c r="L110" s="659">
        <f>SUM(L103:L108)</f>
        <v>1803438</v>
      </c>
      <c r="M110" s="659">
        <f>SUM(M103:M108)</f>
        <v>147415002</v>
      </c>
      <c r="N110" s="659">
        <f>SUM(N103:N108)</f>
        <v>142004688</v>
      </c>
      <c r="O110" s="591"/>
      <c r="P110" s="659">
        <f aca="true" t="shared" si="32" ref="P110:AE110">SUM(P103:P108)</f>
        <v>131956962</v>
      </c>
      <c r="Q110" s="659">
        <f t="shared" si="32"/>
        <v>15458040</v>
      </c>
      <c r="R110" s="659">
        <f t="shared" si="32"/>
        <v>0</v>
      </c>
      <c r="S110" s="659">
        <f t="shared" si="32"/>
        <v>0</v>
      </c>
      <c r="T110" s="659">
        <f t="shared" si="32"/>
        <v>147415002</v>
      </c>
      <c r="U110" s="659">
        <f t="shared" si="32"/>
        <v>0</v>
      </c>
      <c r="V110" s="659">
        <f t="shared" si="32"/>
        <v>21992827</v>
      </c>
      <c r="W110" s="659">
        <f t="shared" si="32"/>
        <v>2576340</v>
      </c>
      <c r="X110" s="659">
        <f t="shared" si="32"/>
        <v>0</v>
      </c>
      <c r="Y110" s="659">
        <f t="shared" si="32"/>
        <v>0</v>
      </c>
      <c r="Z110" s="659">
        <f t="shared" si="32"/>
        <v>24569167</v>
      </c>
      <c r="AA110" s="659">
        <f t="shared" si="32"/>
        <v>0</v>
      </c>
      <c r="AB110" s="659">
        <f t="shared" si="32"/>
        <v>1803438</v>
      </c>
      <c r="AC110" s="659">
        <f t="shared" si="32"/>
        <v>0</v>
      </c>
      <c r="AD110" s="659">
        <f t="shared" si="32"/>
        <v>0</v>
      </c>
      <c r="AE110" s="659">
        <f t="shared" si="32"/>
        <v>1803438</v>
      </c>
      <c r="AF110" s="543"/>
      <c r="AG110" s="837"/>
      <c r="AH110" s="837"/>
      <c r="AI110" s="837"/>
      <c r="AJ110" s="837"/>
      <c r="AK110" s="837"/>
      <c r="AL110" s="818"/>
      <c r="AM110" s="816"/>
      <c r="AN110" s="817"/>
      <c r="AO110" s="817"/>
      <c r="AP110" s="818"/>
      <c r="AQ110" s="838"/>
      <c r="AR110" s="817"/>
      <c r="AS110" s="817"/>
      <c r="AT110" s="817"/>
      <c r="AU110" s="817"/>
      <c r="AV110" s="817"/>
      <c r="AW110" s="817"/>
      <c r="AX110" s="817"/>
      <c r="AY110" s="817"/>
      <c r="AZ110" s="817"/>
      <c r="BA110" s="817"/>
      <c r="BB110" s="817"/>
      <c r="BC110" s="817"/>
      <c r="BD110" s="817"/>
      <c r="BE110" s="817"/>
      <c r="BF110" s="817"/>
      <c r="BG110" s="817"/>
      <c r="BH110" s="817"/>
      <c r="BI110" s="817"/>
      <c r="BJ110" s="817"/>
      <c r="BK110" s="817"/>
      <c r="BL110" s="817"/>
      <c r="BM110" s="817"/>
      <c r="BN110" s="817"/>
      <c r="BO110" s="817"/>
      <c r="BP110" s="817"/>
      <c r="BQ110" s="817"/>
      <c r="BR110" s="817"/>
      <c r="BS110" s="817"/>
      <c r="BT110" s="817"/>
      <c r="BU110" s="817"/>
      <c r="BV110" s="817"/>
      <c r="BW110" s="817"/>
      <c r="BX110" s="817"/>
      <c r="BY110" s="817"/>
      <c r="BZ110" s="817"/>
      <c r="CA110" s="817"/>
      <c r="CB110" s="817"/>
      <c r="CC110" s="817"/>
      <c r="CD110" s="817"/>
      <c r="CE110" s="817"/>
      <c r="CF110" s="817"/>
      <c r="CG110" s="817"/>
      <c r="CH110" s="817"/>
      <c r="CI110" s="817"/>
      <c r="CJ110" s="817"/>
      <c r="CK110" s="817"/>
      <c r="CL110" s="817"/>
      <c r="CM110" s="817"/>
      <c r="CN110" s="817"/>
      <c r="CO110" s="817"/>
      <c r="CP110" s="817"/>
      <c r="CQ110" s="817"/>
      <c r="CR110" s="817"/>
      <c r="CS110" s="817"/>
      <c r="CT110" s="817"/>
      <c r="CU110" s="817"/>
      <c r="CV110" s="817"/>
      <c r="CW110" s="817"/>
      <c r="CX110" s="817"/>
      <c r="CY110" s="817"/>
      <c r="CZ110" s="817"/>
      <c r="DA110" s="817"/>
      <c r="DB110" s="817"/>
      <c r="DC110" s="817"/>
      <c r="DD110" s="817"/>
      <c r="DE110" s="817"/>
      <c r="DF110" s="817"/>
      <c r="DG110" s="817"/>
      <c r="DH110" s="817"/>
      <c r="DI110" s="817"/>
      <c r="DJ110" s="817"/>
      <c r="DK110" s="817"/>
      <c r="DL110" s="817"/>
      <c r="DM110" s="817"/>
      <c r="DN110" s="817"/>
      <c r="DO110" s="817"/>
      <c r="DP110" s="817"/>
      <c r="DQ110" s="817"/>
      <c r="DR110" s="817"/>
      <c r="DS110" s="817"/>
      <c r="DT110" s="817"/>
      <c r="DU110" s="817"/>
      <c r="DV110" s="817"/>
      <c r="DW110" s="817"/>
      <c r="DX110" s="817"/>
      <c r="DY110" s="817"/>
      <c r="DZ110" s="817"/>
      <c r="EA110" s="817"/>
      <c r="EB110" s="817"/>
      <c r="EC110" s="817"/>
      <c r="ED110" s="817"/>
      <c r="EE110" s="817"/>
      <c r="EF110" s="817"/>
      <c r="EG110" s="817"/>
      <c r="EH110" s="817"/>
      <c r="EI110" s="817"/>
      <c r="EJ110" s="817"/>
    </row>
    <row r="111" spans="1:140" s="662" customFormat="1" ht="15">
      <c r="A111" s="624"/>
      <c r="B111" s="624"/>
      <c r="C111" s="624"/>
      <c r="D111" s="624"/>
      <c r="E111" s="624"/>
      <c r="F111" s="583"/>
      <c r="G111" s="584"/>
      <c r="H111" s="658"/>
      <c r="I111" s="586"/>
      <c r="J111" s="615"/>
      <c r="K111" s="606"/>
      <c r="L111" s="667"/>
      <c r="M111" s="625"/>
      <c r="N111" s="625"/>
      <c r="O111" s="591"/>
      <c r="P111" s="590"/>
      <c r="Q111" s="590"/>
      <c r="R111" s="590"/>
      <c r="S111" s="590"/>
      <c r="T111" s="590"/>
      <c r="U111" s="593"/>
      <c r="V111" s="590"/>
      <c r="W111" s="590"/>
      <c r="X111" s="590"/>
      <c r="Y111" s="590"/>
      <c r="Z111" s="593"/>
      <c r="AA111" s="625"/>
      <c r="AB111" s="625"/>
      <c r="AC111" s="625"/>
      <c r="AD111" s="625"/>
      <c r="AE111" s="593"/>
      <c r="AF111" s="543"/>
      <c r="AG111" s="837"/>
      <c r="AH111" s="837"/>
      <c r="AI111" s="837"/>
      <c r="AJ111" s="837"/>
      <c r="AK111" s="837"/>
      <c r="AL111" s="818"/>
      <c r="AM111" s="816"/>
      <c r="AN111" s="817"/>
      <c r="AO111" s="817"/>
      <c r="AP111" s="818"/>
      <c r="AQ111" s="838"/>
      <c r="AR111" s="817"/>
      <c r="AS111" s="817"/>
      <c r="AT111" s="817"/>
      <c r="AU111" s="817"/>
      <c r="AV111" s="817"/>
      <c r="AW111" s="817"/>
      <c r="AX111" s="817"/>
      <c r="AY111" s="817"/>
      <c r="AZ111" s="817"/>
      <c r="BA111" s="817"/>
      <c r="BB111" s="817"/>
      <c r="BC111" s="817"/>
      <c r="BD111" s="817"/>
      <c r="BE111" s="817"/>
      <c r="BF111" s="817"/>
      <c r="BG111" s="817"/>
      <c r="BH111" s="817"/>
      <c r="BI111" s="817"/>
      <c r="BJ111" s="817"/>
      <c r="BK111" s="817"/>
      <c r="BL111" s="817"/>
      <c r="BM111" s="817"/>
      <c r="BN111" s="817"/>
      <c r="BO111" s="817"/>
      <c r="BP111" s="817"/>
      <c r="BQ111" s="817"/>
      <c r="BR111" s="817"/>
      <c r="BS111" s="817"/>
      <c r="BT111" s="817"/>
      <c r="BU111" s="817"/>
      <c r="BV111" s="817"/>
      <c r="BW111" s="817"/>
      <c r="BX111" s="817"/>
      <c r="BY111" s="817"/>
      <c r="BZ111" s="817"/>
      <c r="CA111" s="817"/>
      <c r="CB111" s="817"/>
      <c r="CC111" s="817"/>
      <c r="CD111" s="817"/>
      <c r="CE111" s="817"/>
      <c r="CF111" s="817"/>
      <c r="CG111" s="817"/>
      <c r="CH111" s="817"/>
      <c r="CI111" s="817"/>
      <c r="CJ111" s="817"/>
      <c r="CK111" s="817"/>
      <c r="CL111" s="817"/>
      <c r="CM111" s="817"/>
      <c r="CN111" s="817"/>
      <c r="CO111" s="817"/>
      <c r="CP111" s="817"/>
      <c r="CQ111" s="817"/>
      <c r="CR111" s="817"/>
      <c r="CS111" s="817"/>
      <c r="CT111" s="817"/>
      <c r="CU111" s="817"/>
      <c r="CV111" s="817"/>
      <c r="CW111" s="817"/>
      <c r="CX111" s="817"/>
      <c r="CY111" s="817"/>
      <c r="CZ111" s="817"/>
      <c r="DA111" s="817"/>
      <c r="DB111" s="817"/>
      <c r="DC111" s="817"/>
      <c r="DD111" s="817"/>
      <c r="DE111" s="817"/>
      <c r="DF111" s="817"/>
      <c r="DG111" s="817"/>
      <c r="DH111" s="817"/>
      <c r="DI111" s="817"/>
      <c r="DJ111" s="817"/>
      <c r="DK111" s="817"/>
      <c r="DL111" s="817"/>
      <c r="DM111" s="817"/>
      <c r="DN111" s="817"/>
      <c r="DO111" s="817"/>
      <c r="DP111" s="817"/>
      <c r="DQ111" s="817"/>
      <c r="DR111" s="817"/>
      <c r="DS111" s="817"/>
      <c r="DT111" s="817"/>
      <c r="DU111" s="817"/>
      <c r="DV111" s="817"/>
      <c r="DW111" s="817"/>
      <c r="DX111" s="817"/>
      <c r="DY111" s="817"/>
      <c r="DZ111" s="817"/>
      <c r="EA111" s="817"/>
      <c r="EB111" s="817"/>
      <c r="EC111" s="817"/>
      <c r="ED111" s="817"/>
      <c r="EE111" s="817"/>
      <c r="EF111" s="817"/>
      <c r="EG111" s="817"/>
      <c r="EH111" s="817"/>
      <c r="EI111" s="817"/>
      <c r="EJ111" s="817"/>
    </row>
    <row r="112" spans="1:140" s="662" customFormat="1" ht="15">
      <c r="A112" s="557" t="s">
        <v>86</v>
      </c>
      <c r="B112" s="557"/>
      <c r="C112" s="557"/>
      <c r="D112" s="557"/>
      <c r="E112" s="557"/>
      <c r="F112" s="670"/>
      <c r="G112" s="559"/>
      <c r="H112" s="671"/>
      <c r="I112" s="561"/>
      <c r="J112" s="672"/>
      <c r="K112" s="673"/>
      <c r="L112" s="674"/>
      <c r="M112" s="675"/>
      <c r="N112" s="675"/>
      <c r="O112" s="564"/>
      <c r="P112" s="563"/>
      <c r="Q112" s="563"/>
      <c r="R112" s="563"/>
      <c r="S112" s="563"/>
      <c r="T112" s="563"/>
      <c r="U112" s="676"/>
      <c r="V112" s="563"/>
      <c r="W112" s="563"/>
      <c r="X112" s="563"/>
      <c r="Y112" s="563"/>
      <c r="Z112" s="676"/>
      <c r="AA112" s="675"/>
      <c r="AB112" s="675"/>
      <c r="AC112" s="675"/>
      <c r="AD112" s="675"/>
      <c r="AE112" s="676"/>
      <c r="AF112" s="543"/>
      <c r="AG112" s="837"/>
      <c r="AH112" s="837"/>
      <c r="AI112" s="837"/>
      <c r="AJ112" s="837"/>
      <c r="AK112" s="837"/>
      <c r="AL112" s="818"/>
      <c r="AM112" s="816"/>
      <c r="AN112" s="817"/>
      <c r="AO112" s="817"/>
      <c r="AP112" s="818"/>
      <c r="AQ112" s="838"/>
      <c r="AR112" s="817"/>
      <c r="AS112" s="817"/>
      <c r="AT112" s="817"/>
      <c r="AU112" s="817"/>
      <c r="AV112" s="817"/>
      <c r="AW112" s="817"/>
      <c r="AX112" s="817"/>
      <c r="AY112" s="817"/>
      <c r="AZ112" s="817"/>
      <c r="BA112" s="817"/>
      <c r="BB112" s="817"/>
      <c r="BC112" s="817"/>
      <c r="BD112" s="817"/>
      <c r="BE112" s="817"/>
      <c r="BF112" s="817"/>
      <c r="BG112" s="817"/>
      <c r="BH112" s="817"/>
      <c r="BI112" s="817"/>
      <c r="BJ112" s="817"/>
      <c r="BK112" s="817"/>
      <c r="BL112" s="817"/>
      <c r="BM112" s="817"/>
      <c r="BN112" s="817"/>
      <c r="BO112" s="817"/>
      <c r="BP112" s="817"/>
      <c r="BQ112" s="817"/>
      <c r="BR112" s="817"/>
      <c r="BS112" s="817"/>
      <c r="BT112" s="817"/>
      <c r="BU112" s="817"/>
      <c r="BV112" s="817"/>
      <c r="BW112" s="817"/>
      <c r="BX112" s="817"/>
      <c r="BY112" s="817"/>
      <c r="BZ112" s="817"/>
      <c r="CA112" s="817"/>
      <c r="CB112" s="817"/>
      <c r="CC112" s="817"/>
      <c r="CD112" s="817"/>
      <c r="CE112" s="817"/>
      <c r="CF112" s="817"/>
      <c r="CG112" s="817"/>
      <c r="CH112" s="817"/>
      <c r="CI112" s="817"/>
      <c r="CJ112" s="817"/>
      <c r="CK112" s="817"/>
      <c r="CL112" s="817"/>
      <c r="CM112" s="817"/>
      <c r="CN112" s="817"/>
      <c r="CO112" s="817"/>
      <c r="CP112" s="817"/>
      <c r="CQ112" s="817"/>
      <c r="CR112" s="817"/>
      <c r="CS112" s="817"/>
      <c r="CT112" s="817"/>
      <c r="CU112" s="817"/>
      <c r="CV112" s="817"/>
      <c r="CW112" s="817"/>
      <c r="CX112" s="817"/>
      <c r="CY112" s="817"/>
      <c r="CZ112" s="817"/>
      <c r="DA112" s="817"/>
      <c r="DB112" s="817"/>
      <c r="DC112" s="817"/>
      <c r="DD112" s="817"/>
      <c r="DE112" s="817"/>
      <c r="DF112" s="817"/>
      <c r="DG112" s="817"/>
      <c r="DH112" s="817"/>
      <c r="DI112" s="817"/>
      <c r="DJ112" s="817"/>
      <c r="DK112" s="817"/>
      <c r="DL112" s="817"/>
      <c r="DM112" s="817"/>
      <c r="DN112" s="817"/>
      <c r="DO112" s="817"/>
      <c r="DP112" s="817"/>
      <c r="DQ112" s="817"/>
      <c r="DR112" s="817"/>
      <c r="DS112" s="817"/>
      <c r="DT112" s="817"/>
      <c r="DU112" s="817"/>
      <c r="DV112" s="817"/>
      <c r="DW112" s="817"/>
      <c r="DX112" s="817"/>
      <c r="DY112" s="817"/>
      <c r="DZ112" s="817"/>
      <c r="EA112" s="817"/>
      <c r="EB112" s="817"/>
      <c r="EC112" s="817"/>
      <c r="ED112" s="817"/>
      <c r="EE112" s="817"/>
      <c r="EF112" s="817"/>
      <c r="EG112" s="817"/>
      <c r="EH112" s="817"/>
      <c r="EI112" s="817"/>
      <c r="EJ112" s="817"/>
    </row>
    <row r="113" spans="1:140" s="678" customFormat="1" ht="25.5">
      <c r="A113" s="624" t="s">
        <v>932</v>
      </c>
      <c r="B113" s="624"/>
      <c r="C113" s="624"/>
      <c r="D113" s="624"/>
      <c r="E113" s="624"/>
      <c r="F113" s="583"/>
      <c r="G113" s="584"/>
      <c r="H113" s="658"/>
      <c r="I113" s="586"/>
      <c r="J113" s="615"/>
      <c r="K113" s="606"/>
      <c r="L113" s="667"/>
      <c r="M113" s="625"/>
      <c r="N113" s="625"/>
      <c r="O113" s="591"/>
      <c r="P113" s="590"/>
      <c r="Q113" s="590"/>
      <c r="R113" s="590"/>
      <c r="S113" s="590"/>
      <c r="T113" s="590"/>
      <c r="U113" s="593"/>
      <c r="V113" s="590"/>
      <c r="W113" s="590"/>
      <c r="X113" s="590"/>
      <c r="Y113" s="590"/>
      <c r="Z113" s="593"/>
      <c r="AA113" s="625"/>
      <c r="AB113" s="625"/>
      <c r="AC113" s="625"/>
      <c r="AD113" s="625"/>
      <c r="AE113" s="593"/>
      <c r="AF113" s="543"/>
      <c r="AG113" s="837"/>
      <c r="AH113" s="837"/>
      <c r="AI113" s="837"/>
      <c r="AJ113" s="837"/>
      <c r="AK113" s="837"/>
      <c r="AL113" s="818"/>
      <c r="AM113" s="816"/>
      <c r="AN113" s="817"/>
      <c r="AO113" s="817"/>
      <c r="AP113" s="818"/>
      <c r="AQ113" s="838"/>
      <c r="AR113" s="817"/>
      <c r="AS113" s="817"/>
      <c r="AT113" s="817"/>
      <c r="AU113" s="817"/>
      <c r="AV113" s="817"/>
      <c r="AW113" s="817"/>
      <c r="AX113" s="817"/>
      <c r="AY113" s="817"/>
      <c r="AZ113" s="817"/>
      <c r="BA113" s="817"/>
      <c r="BB113" s="817"/>
      <c r="BC113" s="817"/>
      <c r="BD113" s="817"/>
      <c r="BE113" s="817"/>
      <c r="BF113" s="817"/>
      <c r="BG113" s="817"/>
      <c r="BH113" s="817"/>
      <c r="BI113" s="817"/>
      <c r="BJ113" s="817"/>
      <c r="BK113" s="817"/>
      <c r="BL113" s="817"/>
      <c r="BM113" s="817"/>
      <c r="BN113" s="817"/>
      <c r="BO113" s="817"/>
      <c r="BP113" s="817"/>
      <c r="BQ113" s="817"/>
      <c r="BR113" s="817"/>
      <c r="BS113" s="817"/>
      <c r="BT113" s="817"/>
      <c r="BU113" s="817"/>
      <c r="BV113" s="817"/>
      <c r="BW113" s="817"/>
      <c r="BX113" s="817"/>
      <c r="BY113" s="817"/>
      <c r="BZ113" s="817"/>
      <c r="CA113" s="817"/>
      <c r="CB113" s="817"/>
      <c r="CC113" s="817"/>
      <c r="CD113" s="817"/>
      <c r="CE113" s="817"/>
      <c r="CF113" s="817"/>
      <c r="CG113" s="817"/>
      <c r="CH113" s="817"/>
      <c r="CI113" s="817"/>
      <c r="CJ113" s="817"/>
      <c r="CK113" s="817"/>
      <c r="CL113" s="817"/>
      <c r="CM113" s="817"/>
      <c r="CN113" s="817"/>
      <c r="CO113" s="817"/>
      <c r="CP113" s="817"/>
      <c r="CQ113" s="817"/>
      <c r="CR113" s="817"/>
      <c r="CS113" s="817"/>
      <c r="CT113" s="817"/>
      <c r="CU113" s="817"/>
      <c r="CV113" s="817"/>
      <c r="CW113" s="817"/>
      <c r="CX113" s="817"/>
      <c r="CY113" s="817"/>
      <c r="CZ113" s="817"/>
      <c r="DA113" s="817"/>
      <c r="DB113" s="817"/>
      <c r="DC113" s="817"/>
      <c r="DD113" s="817"/>
      <c r="DE113" s="817"/>
      <c r="DF113" s="817"/>
      <c r="DG113" s="817"/>
      <c r="DH113" s="817"/>
      <c r="DI113" s="817"/>
      <c r="DJ113" s="817"/>
      <c r="DK113" s="817"/>
      <c r="DL113" s="817"/>
      <c r="DM113" s="817"/>
      <c r="DN113" s="817"/>
      <c r="DO113" s="817"/>
      <c r="DP113" s="817"/>
      <c r="DQ113" s="817"/>
      <c r="DR113" s="817"/>
      <c r="DS113" s="817"/>
      <c r="DT113" s="817"/>
      <c r="DU113" s="817"/>
      <c r="DV113" s="817"/>
      <c r="DW113" s="817"/>
      <c r="DX113" s="817"/>
      <c r="DY113" s="817"/>
      <c r="DZ113" s="817"/>
      <c r="EA113" s="817"/>
      <c r="EB113" s="817"/>
      <c r="EC113" s="817"/>
      <c r="ED113" s="817"/>
      <c r="EE113" s="817"/>
      <c r="EF113" s="817"/>
      <c r="EG113" s="817"/>
      <c r="EH113" s="817"/>
      <c r="EI113" s="817"/>
      <c r="EJ113" s="817"/>
    </row>
    <row r="114" spans="1:140" s="662" customFormat="1" ht="46.5">
      <c r="A114" s="766" t="s">
        <v>88</v>
      </c>
      <c r="B114" s="844" t="s">
        <v>795</v>
      </c>
      <c r="C114" s="766" t="s">
        <v>796</v>
      </c>
      <c r="D114" s="766">
        <v>1</v>
      </c>
      <c r="E114" s="766" t="s">
        <v>696</v>
      </c>
      <c r="F114" s="680">
        <f>Hardware!B21</f>
        <v>119.60975</v>
      </c>
      <c r="G114" s="681">
        <f>Number_of_Students/Student_Workstation_Ratio</f>
        <v>197725.68766666666</v>
      </c>
      <c r="H114" s="585"/>
      <c r="I114" s="586">
        <f>J114/G114</f>
        <v>119.60974999999999</v>
      </c>
      <c r="J114" s="587">
        <f>M114/BudgetYears</f>
        <v>23649920.070388082</v>
      </c>
      <c r="K114" s="588">
        <v>1</v>
      </c>
      <c r="L114" s="589">
        <v>0</v>
      </c>
      <c r="M114" s="590">
        <f>(F114*G114)*(BudgetYears/K114)</f>
        <v>141899520.4223285</v>
      </c>
      <c r="N114" s="590">
        <f>(M114)-(L114*3)</f>
        <v>141899520.4223285</v>
      </c>
      <c r="O114" s="591" t="s">
        <v>18</v>
      </c>
      <c r="P114" s="590">
        <f>IF($O114="S/L or L",$M114,0)</f>
        <v>141899520.4223285</v>
      </c>
      <c r="Q114" s="590">
        <f>IF($O114="L",$M114,0)</f>
        <v>0</v>
      </c>
      <c r="R114" s="590">
        <f>IF($O114="S",$M114,0)</f>
        <v>0</v>
      </c>
      <c r="S114" s="590">
        <f>IF($O114="F",$M114,0)</f>
        <v>0</v>
      </c>
      <c r="T114" s="590">
        <f>SUM(P114:S114)</f>
        <v>141899520.4223285</v>
      </c>
      <c r="U114" s="592" t="s">
        <v>25</v>
      </c>
      <c r="V114" s="590">
        <f>IF($O114="S/L or L",$J114,0)</f>
        <v>23649920.070388082</v>
      </c>
      <c r="W114" s="590">
        <f>IF($O114="L",$J114,0)</f>
        <v>0</v>
      </c>
      <c r="X114" s="590">
        <f>IF($O114="S",$J114,0)</f>
        <v>0</v>
      </c>
      <c r="Y114" s="590">
        <f>IF($O114="F",$J114,0)</f>
        <v>0</v>
      </c>
      <c r="Z114" s="593">
        <f>SUM(V114:Y114)</f>
        <v>23649920.070388082</v>
      </c>
      <c r="AA114" s="590">
        <f>IF($O114="S/L or L",$L114,0)</f>
        <v>0</v>
      </c>
      <c r="AB114" s="590">
        <f>IF($O114="L",$L114,0)</f>
        <v>0</v>
      </c>
      <c r="AC114" s="590">
        <f>IF($O114="S",$L114,0)</f>
        <v>0</v>
      </c>
      <c r="AD114" s="590">
        <f>IF($O114="F",$L114,0)</f>
        <v>0</v>
      </c>
      <c r="AE114" s="593">
        <f>SUM(AA114:AD114)</f>
        <v>0</v>
      </c>
      <c r="AF114" s="594"/>
      <c r="AG114" s="578"/>
      <c r="AH114" s="578"/>
      <c r="AI114" s="578"/>
      <c r="AJ114" s="578"/>
      <c r="AK114" s="578"/>
      <c r="AL114" s="579"/>
      <c r="AM114" s="580"/>
      <c r="AN114" s="581"/>
      <c r="AO114" s="581"/>
      <c r="AP114" s="579"/>
      <c r="AQ114" s="582"/>
      <c r="AR114" s="581"/>
      <c r="AS114" s="581"/>
      <c r="AT114" s="581"/>
      <c r="AU114" s="581"/>
      <c r="AV114" s="581"/>
      <c r="AW114" s="581"/>
      <c r="AX114" s="581"/>
      <c r="AY114" s="581"/>
      <c r="AZ114" s="581"/>
      <c r="BA114" s="581"/>
      <c r="BB114" s="581"/>
      <c r="BC114" s="581"/>
      <c r="BD114" s="581"/>
      <c r="BE114" s="581"/>
      <c r="BF114" s="581"/>
      <c r="BG114" s="581"/>
      <c r="BH114" s="581"/>
      <c r="BI114" s="581"/>
      <c r="BJ114" s="581"/>
      <c r="BK114" s="581"/>
      <c r="BL114" s="581"/>
      <c r="BM114" s="581"/>
      <c r="BN114" s="581"/>
      <c r="BO114" s="581"/>
      <c r="BP114" s="581"/>
      <c r="BQ114" s="581"/>
      <c r="BR114" s="581"/>
      <c r="BS114" s="581"/>
      <c r="BT114" s="581"/>
      <c r="BU114" s="581"/>
      <c r="BV114" s="581"/>
      <c r="BW114" s="581"/>
      <c r="BX114" s="581"/>
      <c r="BY114" s="581"/>
      <c r="BZ114" s="581"/>
      <c r="CA114" s="581"/>
      <c r="CB114" s="581"/>
      <c r="CC114" s="581"/>
      <c r="CD114" s="581"/>
      <c r="CE114" s="581"/>
      <c r="CF114" s="581"/>
      <c r="CG114" s="581"/>
      <c r="CH114" s="581"/>
      <c r="CI114" s="581"/>
      <c r="CJ114" s="581"/>
      <c r="CK114" s="581"/>
      <c r="CL114" s="581"/>
      <c r="CM114" s="581"/>
      <c r="CN114" s="581"/>
      <c r="CO114" s="581"/>
      <c r="CP114" s="581"/>
      <c r="CQ114" s="581"/>
      <c r="CR114" s="581"/>
      <c r="CS114" s="581"/>
      <c r="CT114" s="581"/>
      <c r="CU114" s="581"/>
      <c r="CV114" s="581"/>
      <c r="CW114" s="581"/>
      <c r="CX114" s="581"/>
      <c r="CY114" s="581"/>
      <c r="CZ114" s="581"/>
      <c r="DA114" s="581"/>
      <c r="DB114" s="581"/>
      <c r="DC114" s="581"/>
      <c r="DD114" s="581"/>
      <c r="DE114" s="581"/>
      <c r="DF114" s="581"/>
      <c r="DG114" s="581"/>
      <c r="DH114" s="581"/>
      <c r="DI114" s="581"/>
      <c r="DJ114" s="581"/>
      <c r="DK114" s="581"/>
      <c r="DL114" s="581"/>
      <c r="DM114" s="581"/>
      <c r="DN114" s="581"/>
      <c r="DO114" s="581"/>
      <c r="DP114" s="581"/>
      <c r="DQ114" s="581"/>
      <c r="DR114" s="581"/>
      <c r="DS114" s="581"/>
      <c r="DT114" s="581"/>
      <c r="DU114" s="581"/>
      <c r="DV114" s="581"/>
      <c r="DW114" s="581"/>
      <c r="DX114" s="581"/>
      <c r="DY114" s="581"/>
      <c r="DZ114" s="581"/>
      <c r="EA114" s="581"/>
      <c r="EB114" s="581"/>
      <c r="EC114" s="581"/>
      <c r="ED114" s="581"/>
      <c r="EE114" s="581"/>
      <c r="EF114" s="581"/>
      <c r="EG114" s="581"/>
      <c r="EH114" s="581"/>
      <c r="EI114" s="581"/>
      <c r="EJ114" s="581"/>
    </row>
    <row r="115" spans="1:140" s="662" customFormat="1" ht="93">
      <c r="A115" s="600" t="s">
        <v>89</v>
      </c>
      <c r="B115" s="844" t="s">
        <v>749</v>
      </c>
      <c r="C115" s="766" t="s">
        <v>796</v>
      </c>
      <c r="D115" s="600">
        <v>1</v>
      </c>
      <c r="E115" s="754" t="s">
        <v>0</v>
      </c>
      <c r="F115" s="682">
        <f>H20/G115</f>
        <v>27165.334798196298</v>
      </c>
      <c r="G115" s="584">
        <f>Number_of_Schools+Number_of_VS_Schools</f>
        <v>1291</v>
      </c>
      <c r="H115" s="683"/>
      <c r="I115" s="586">
        <f>J115/G115</f>
        <v>27165.334798196298</v>
      </c>
      <c r="J115" s="587">
        <f>M115/BudgetYears</f>
        <v>35070447.22447142</v>
      </c>
      <c r="K115" s="684">
        <v>1</v>
      </c>
      <c r="L115" s="685">
        <v>0</v>
      </c>
      <c r="M115" s="590">
        <f>(F115*G115)*(BudgetYears/K115)</f>
        <v>210422683.34682852</v>
      </c>
      <c r="N115" s="590">
        <f>(M115)-(L115*3)</f>
        <v>210422683.34682852</v>
      </c>
      <c r="O115" s="591" t="s">
        <v>18</v>
      </c>
      <c r="P115" s="590">
        <f>IF($O115="S/L or L",$M115,0)</f>
        <v>210422683.34682852</v>
      </c>
      <c r="Q115" s="590">
        <f>IF($O115="L",$M115,0)</f>
        <v>0</v>
      </c>
      <c r="R115" s="590">
        <f>IF($O115="S",$M115,0)</f>
        <v>0</v>
      </c>
      <c r="S115" s="590">
        <f>IF($O115="F",$M115,0)</f>
        <v>0</v>
      </c>
      <c r="T115" s="590">
        <f>SUM(P115:S115)</f>
        <v>210422683.34682852</v>
      </c>
      <c r="U115" s="592">
        <v>2802330.5208471417</v>
      </c>
      <c r="V115" s="590">
        <f>IF($O115="S/L or L",$J115,0)</f>
        <v>35070447.22447142</v>
      </c>
      <c r="W115" s="590">
        <f>IF($O115="L",$J115,0)</f>
        <v>0</v>
      </c>
      <c r="X115" s="590">
        <f>IF($O115="S",$J115,0)</f>
        <v>0</v>
      </c>
      <c r="Y115" s="590">
        <f>IF($O115="F",$J115,0)</f>
        <v>0</v>
      </c>
      <c r="Z115" s="593">
        <f>SUM(V115:Y115)</f>
        <v>35070447.22447142</v>
      </c>
      <c r="AA115" s="590">
        <f>IF($O115="S/L or L",$L115,0)</f>
        <v>0</v>
      </c>
      <c r="AB115" s="590">
        <f>IF($O115="L",$L115,0)</f>
        <v>0</v>
      </c>
      <c r="AC115" s="590">
        <f>IF($O115="S",$L115,0)</f>
        <v>0</v>
      </c>
      <c r="AD115" s="590">
        <f>IF($O115="F",$L115,0)</f>
        <v>0</v>
      </c>
      <c r="AE115" s="593">
        <f>SUM(AA115:AD115)</f>
        <v>0</v>
      </c>
      <c r="AF115" s="543"/>
      <c r="AG115" s="837"/>
      <c r="AH115" s="837"/>
      <c r="AI115" s="837"/>
      <c r="AJ115" s="837"/>
      <c r="AK115" s="837"/>
      <c r="AL115" s="818"/>
      <c r="AM115" s="816"/>
      <c r="AN115" s="817"/>
      <c r="AO115" s="817"/>
      <c r="AP115" s="818"/>
      <c r="AQ115" s="838"/>
      <c r="AR115" s="817"/>
      <c r="AS115" s="817"/>
      <c r="AT115" s="817"/>
      <c r="AU115" s="817"/>
      <c r="AV115" s="817"/>
      <c r="AW115" s="817"/>
      <c r="AX115" s="817"/>
      <c r="AY115" s="817"/>
      <c r="AZ115" s="817"/>
      <c r="BA115" s="817"/>
      <c r="BB115" s="817"/>
      <c r="BC115" s="817"/>
      <c r="BD115" s="817"/>
      <c r="BE115" s="817"/>
      <c r="BF115" s="817"/>
      <c r="BG115" s="817"/>
      <c r="BH115" s="817"/>
      <c r="BI115" s="817"/>
      <c r="BJ115" s="817"/>
      <c r="BK115" s="817"/>
      <c r="BL115" s="817"/>
      <c r="BM115" s="817"/>
      <c r="BN115" s="817"/>
      <c r="BO115" s="817"/>
      <c r="BP115" s="817"/>
      <c r="BQ115" s="817"/>
      <c r="BR115" s="817"/>
      <c r="BS115" s="817"/>
      <c r="BT115" s="817"/>
      <c r="BU115" s="817"/>
      <c r="BV115" s="817"/>
      <c r="BW115" s="817"/>
      <c r="BX115" s="817"/>
      <c r="BY115" s="817"/>
      <c r="BZ115" s="817"/>
      <c r="CA115" s="817"/>
      <c r="CB115" s="817"/>
      <c r="CC115" s="817"/>
      <c r="CD115" s="817"/>
      <c r="CE115" s="817"/>
      <c r="CF115" s="817"/>
      <c r="CG115" s="817"/>
      <c r="CH115" s="817"/>
      <c r="CI115" s="817"/>
      <c r="CJ115" s="817"/>
      <c r="CK115" s="817"/>
      <c r="CL115" s="817"/>
      <c r="CM115" s="817"/>
      <c r="CN115" s="817"/>
      <c r="CO115" s="817"/>
      <c r="CP115" s="817"/>
      <c r="CQ115" s="817"/>
      <c r="CR115" s="817"/>
      <c r="CS115" s="817"/>
      <c r="CT115" s="817"/>
      <c r="CU115" s="817"/>
      <c r="CV115" s="817"/>
      <c r="CW115" s="817"/>
      <c r="CX115" s="817"/>
      <c r="CY115" s="817"/>
      <c r="CZ115" s="817"/>
      <c r="DA115" s="817"/>
      <c r="DB115" s="817"/>
      <c r="DC115" s="817"/>
      <c r="DD115" s="817"/>
      <c r="DE115" s="817"/>
      <c r="DF115" s="817"/>
      <c r="DG115" s="817"/>
      <c r="DH115" s="817"/>
      <c r="DI115" s="817"/>
      <c r="DJ115" s="817"/>
      <c r="DK115" s="817"/>
      <c r="DL115" s="817"/>
      <c r="DM115" s="817"/>
      <c r="DN115" s="817"/>
      <c r="DO115" s="817"/>
      <c r="DP115" s="817"/>
      <c r="DQ115" s="817"/>
      <c r="DR115" s="817"/>
      <c r="DS115" s="817"/>
      <c r="DT115" s="817"/>
      <c r="DU115" s="817"/>
      <c r="DV115" s="817"/>
      <c r="DW115" s="817"/>
      <c r="DX115" s="817"/>
      <c r="DY115" s="817"/>
      <c r="DZ115" s="817"/>
      <c r="EA115" s="817"/>
      <c r="EB115" s="817"/>
      <c r="EC115" s="817"/>
      <c r="ED115" s="817"/>
      <c r="EE115" s="817"/>
      <c r="EF115" s="817"/>
      <c r="EG115" s="817"/>
      <c r="EH115" s="817"/>
      <c r="EI115" s="817"/>
      <c r="EJ115" s="817"/>
    </row>
    <row r="116" spans="1:140" s="662" customFormat="1" ht="46.5">
      <c r="A116" s="600" t="s">
        <v>90</v>
      </c>
      <c r="B116" s="844" t="s">
        <v>797</v>
      </c>
      <c r="C116" s="766" t="s">
        <v>796</v>
      </c>
      <c r="D116" s="600">
        <v>1</v>
      </c>
      <c r="E116" s="754" t="s">
        <v>0</v>
      </c>
      <c r="F116" s="682">
        <f>(H43+H50+H45)/G116</f>
        <v>6442.706048024787</v>
      </c>
      <c r="G116" s="584">
        <f>Number_of_Schools+Number_of_VS_Schools</f>
        <v>1291</v>
      </c>
      <c r="H116" s="683"/>
      <c r="I116" s="586">
        <f>J116/G116</f>
        <v>6442.706048024787</v>
      </c>
      <c r="J116" s="587">
        <f>M116/BudgetYears</f>
        <v>8317533.508</v>
      </c>
      <c r="K116" s="684">
        <v>1</v>
      </c>
      <c r="L116" s="607">
        <f>(USFInternal)*J116</f>
        <v>5822273.4556</v>
      </c>
      <c r="M116" s="590">
        <f>(F116*G116)*(BudgetYears/K116)</f>
        <v>49905201.048</v>
      </c>
      <c r="N116" s="590">
        <f>(M116)-(L116*3)</f>
        <v>32438380.6812</v>
      </c>
      <c r="O116" s="591" t="s">
        <v>18</v>
      </c>
      <c r="P116" s="590">
        <f>IF($O116="S/L or L",$M116,0)</f>
        <v>49905201.048</v>
      </c>
      <c r="Q116" s="590">
        <f>IF($O116="L",$M116,0)</f>
        <v>0</v>
      </c>
      <c r="R116" s="590">
        <f>IF($O116="S",$M116,0)</f>
        <v>0</v>
      </c>
      <c r="S116" s="590">
        <f>IF($O116="F",$M116,0)</f>
        <v>0</v>
      </c>
      <c r="T116" s="590">
        <f>SUM(P116:S116)</f>
        <v>49905201.048</v>
      </c>
      <c r="U116" s="592">
        <v>490493.9225000001</v>
      </c>
      <c r="V116" s="590">
        <f>IF($O116="S/L or L",$J116,0)</f>
        <v>8317533.508</v>
      </c>
      <c r="W116" s="590">
        <f>IF($O116="L",$J116,0)</f>
        <v>0</v>
      </c>
      <c r="X116" s="590">
        <f>IF($O116="S",$J116,0)</f>
        <v>0</v>
      </c>
      <c r="Y116" s="590">
        <f>IF($O116="F",$J116,0)</f>
        <v>0</v>
      </c>
      <c r="Z116" s="593">
        <f>SUM(V116:Y116)</f>
        <v>8317533.508</v>
      </c>
      <c r="AA116" s="590">
        <f>IF($O116="S/L or L",$L116,0)</f>
        <v>5822273.4556</v>
      </c>
      <c r="AB116" s="590">
        <f>IF($O116="L",$L116,0)</f>
        <v>0</v>
      </c>
      <c r="AC116" s="590">
        <f>IF($O116="S",$L116,0)</f>
        <v>0</v>
      </c>
      <c r="AD116" s="590">
        <f>IF($O116="F",$L116,0)</f>
        <v>0</v>
      </c>
      <c r="AE116" s="593">
        <f>SUM(AA116:AD116)</f>
        <v>5822273.4556</v>
      </c>
      <c r="AF116" s="543"/>
      <c r="AG116" s="837"/>
      <c r="AH116" s="837"/>
      <c r="AI116" s="837"/>
      <c r="AJ116" s="837"/>
      <c r="AK116" s="837"/>
      <c r="AL116" s="818"/>
      <c r="AM116" s="816"/>
      <c r="AN116" s="817"/>
      <c r="AO116" s="817"/>
      <c r="AP116" s="818"/>
      <c r="AQ116" s="838"/>
      <c r="AR116" s="817"/>
      <c r="AS116" s="817"/>
      <c r="AT116" s="817"/>
      <c r="AU116" s="817"/>
      <c r="AV116" s="817"/>
      <c r="AW116" s="817"/>
      <c r="AX116" s="817"/>
      <c r="AY116" s="817"/>
      <c r="AZ116" s="817"/>
      <c r="BA116" s="817"/>
      <c r="BB116" s="817"/>
      <c r="BC116" s="817"/>
      <c r="BD116" s="817"/>
      <c r="BE116" s="817"/>
      <c r="BF116" s="817"/>
      <c r="BG116" s="817"/>
      <c r="BH116" s="817"/>
      <c r="BI116" s="817"/>
      <c r="BJ116" s="817"/>
      <c r="BK116" s="817"/>
      <c r="BL116" s="817"/>
      <c r="BM116" s="817"/>
      <c r="BN116" s="817"/>
      <c r="BO116" s="817"/>
      <c r="BP116" s="817"/>
      <c r="BQ116" s="817"/>
      <c r="BR116" s="817"/>
      <c r="BS116" s="817"/>
      <c r="BT116" s="817"/>
      <c r="BU116" s="817"/>
      <c r="BV116" s="817"/>
      <c r="BW116" s="817"/>
      <c r="BX116" s="817"/>
      <c r="BY116" s="817"/>
      <c r="BZ116" s="817"/>
      <c r="CA116" s="817"/>
      <c r="CB116" s="817"/>
      <c r="CC116" s="817"/>
      <c r="CD116" s="817"/>
      <c r="CE116" s="817"/>
      <c r="CF116" s="817"/>
      <c r="CG116" s="817"/>
      <c r="CH116" s="817"/>
      <c r="CI116" s="817"/>
      <c r="CJ116" s="817"/>
      <c r="CK116" s="817"/>
      <c r="CL116" s="817"/>
      <c r="CM116" s="817"/>
      <c r="CN116" s="817"/>
      <c r="CO116" s="817"/>
      <c r="CP116" s="817"/>
      <c r="CQ116" s="817"/>
      <c r="CR116" s="817"/>
      <c r="CS116" s="817"/>
      <c r="CT116" s="817"/>
      <c r="CU116" s="817"/>
      <c r="CV116" s="817"/>
      <c r="CW116" s="817"/>
      <c r="CX116" s="817"/>
      <c r="CY116" s="817"/>
      <c r="CZ116" s="817"/>
      <c r="DA116" s="817"/>
      <c r="DB116" s="817"/>
      <c r="DC116" s="817"/>
      <c r="DD116" s="817"/>
      <c r="DE116" s="817"/>
      <c r="DF116" s="817"/>
      <c r="DG116" s="817"/>
      <c r="DH116" s="817"/>
      <c r="DI116" s="817"/>
      <c r="DJ116" s="817"/>
      <c r="DK116" s="817"/>
      <c r="DL116" s="817"/>
      <c r="DM116" s="817"/>
      <c r="DN116" s="817"/>
      <c r="DO116" s="817"/>
      <c r="DP116" s="817"/>
      <c r="DQ116" s="817"/>
      <c r="DR116" s="817"/>
      <c r="DS116" s="817"/>
      <c r="DT116" s="817"/>
      <c r="DU116" s="817"/>
      <c r="DV116" s="817"/>
      <c r="DW116" s="817"/>
      <c r="DX116" s="817"/>
      <c r="DY116" s="817"/>
      <c r="DZ116" s="817"/>
      <c r="EA116" s="817"/>
      <c r="EB116" s="817"/>
      <c r="EC116" s="817"/>
      <c r="ED116" s="817"/>
      <c r="EE116" s="817"/>
      <c r="EF116" s="817"/>
      <c r="EG116" s="817"/>
      <c r="EH116" s="817"/>
      <c r="EI116" s="817"/>
      <c r="EJ116" s="817"/>
    </row>
    <row r="117" spans="1:140" s="662" customFormat="1" ht="46.5">
      <c r="A117" s="600" t="s">
        <v>91</v>
      </c>
      <c r="B117" s="844" t="s">
        <v>798</v>
      </c>
      <c r="C117" s="766" t="s">
        <v>796</v>
      </c>
      <c r="D117" s="600">
        <v>1</v>
      </c>
      <c r="E117" s="600" t="s">
        <v>352</v>
      </c>
      <c r="F117" s="682">
        <f>(((H72-H64))+(750*124)+(2700*52))/G117</f>
        <v>2031.9597701149426</v>
      </c>
      <c r="G117" s="584">
        <f>Number_of_Districts</f>
        <v>174</v>
      </c>
      <c r="H117" s="683"/>
      <c r="I117" s="586">
        <f>J117/G117</f>
        <v>2031.9597701149426</v>
      </c>
      <c r="J117" s="587">
        <f>M117/BudgetYears</f>
        <v>353561</v>
      </c>
      <c r="K117" s="684">
        <v>1</v>
      </c>
      <c r="L117" s="685">
        <v>0</v>
      </c>
      <c r="M117" s="590">
        <f>(F117*G117)*(BudgetYears/K117)</f>
        <v>2121366</v>
      </c>
      <c r="N117" s="590">
        <f>(M117)-(L117*3)</f>
        <v>2121366</v>
      </c>
      <c r="O117" s="591" t="s">
        <v>18</v>
      </c>
      <c r="P117" s="590">
        <f>IF($O117="S/L or L",$M117,0)</f>
        <v>2121366</v>
      </c>
      <c r="Q117" s="590">
        <f>IF($O117="L",$M117,0)</f>
        <v>0</v>
      </c>
      <c r="R117" s="590">
        <f>IF($O117="S",$M117,0)</f>
        <v>0</v>
      </c>
      <c r="S117" s="590">
        <f>IF($O117="F",$M117,0)</f>
        <v>0</v>
      </c>
      <c r="T117" s="590">
        <f>SUM(P117:S117)</f>
        <v>2121366</v>
      </c>
      <c r="U117" s="592" t="s">
        <v>25</v>
      </c>
      <c r="V117" s="590">
        <f>IF($O117="S/L or L",$J117,0)</f>
        <v>353561</v>
      </c>
      <c r="W117" s="590">
        <f>IF($O117="L",$J117,0)</f>
        <v>0</v>
      </c>
      <c r="X117" s="590">
        <f>IF($O117="S",$J117,0)</f>
        <v>0</v>
      </c>
      <c r="Y117" s="590">
        <f>IF($O117="F",$J117,0)</f>
        <v>0</v>
      </c>
      <c r="Z117" s="593">
        <f>SUM(V117:Y117)</f>
        <v>353561</v>
      </c>
      <c r="AA117" s="590">
        <f>IF($O117="S/L or L",$L117,0)</f>
        <v>0</v>
      </c>
      <c r="AB117" s="590">
        <f>IF($O117="L",$L117,0)</f>
        <v>0</v>
      </c>
      <c r="AC117" s="590">
        <f>IF($O117="S",$L117,0)</f>
        <v>0</v>
      </c>
      <c r="AD117" s="590">
        <f>IF($O117="F",$L117,0)</f>
        <v>0</v>
      </c>
      <c r="AE117" s="593">
        <f>SUM(AA117:AD117)</f>
        <v>0</v>
      </c>
      <c r="AF117" s="677"/>
      <c r="AG117" s="837"/>
      <c r="AH117" s="837"/>
      <c r="AI117" s="837"/>
      <c r="AJ117" s="837"/>
      <c r="AK117" s="837"/>
      <c r="AL117" s="818"/>
      <c r="AM117" s="816"/>
      <c r="AN117" s="817"/>
      <c r="AO117" s="817"/>
      <c r="AP117" s="818"/>
      <c r="AQ117" s="838"/>
      <c r="AR117" s="817"/>
      <c r="AS117" s="817"/>
      <c r="AT117" s="817"/>
      <c r="AU117" s="817"/>
      <c r="AV117" s="817"/>
      <c r="AW117" s="817"/>
      <c r="AX117" s="817"/>
      <c r="AY117" s="817"/>
      <c r="AZ117" s="817"/>
      <c r="BA117" s="817"/>
      <c r="BB117" s="817"/>
      <c r="BC117" s="817"/>
      <c r="BD117" s="817"/>
      <c r="BE117" s="817"/>
      <c r="BF117" s="817"/>
      <c r="BG117" s="817"/>
      <c r="BH117" s="817"/>
      <c r="BI117" s="817"/>
      <c r="BJ117" s="817"/>
      <c r="BK117" s="817"/>
      <c r="BL117" s="817"/>
      <c r="BM117" s="817"/>
      <c r="BN117" s="817"/>
      <c r="BO117" s="817"/>
      <c r="BP117" s="817"/>
      <c r="BQ117" s="817"/>
      <c r="BR117" s="817"/>
      <c r="BS117" s="817"/>
      <c r="BT117" s="817"/>
      <c r="BU117" s="817"/>
      <c r="BV117" s="817"/>
      <c r="BW117" s="817"/>
      <c r="BX117" s="817"/>
      <c r="BY117" s="817"/>
      <c r="BZ117" s="817"/>
      <c r="CA117" s="817"/>
      <c r="CB117" s="817"/>
      <c r="CC117" s="817"/>
      <c r="CD117" s="817"/>
      <c r="CE117" s="817"/>
      <c r="CF117" s="817"/>
      <c r="CG117" s="817"/>
      <c r="CH117" s="817"/>
      <c r="CI117" s="817"/>
      <c r="CJ117" s="817"/>
      <c r="CK117" s="817"/>
      <c r="CL117" s="817"/>
      <c r="CM117" s="817"/>
      <c r="CN117" s="817"/>
      <c r="CO117" s="817"/>
      <c r="CP117" s="817"/>
      <c r="CQ117" s="817"/>
      <c r="CR117" s="817"/>
      <c r="CS117" s="817"/>
      <c r="CT117" s="817"/>
      <c r="CU117" s="817"/>
      <c r="CV117" s="817"/>
      <c r="CW117" s="817"/>
      <c r="CX117" s="817"/>
      <c r="CY117" s="817"/>
      <c r="CZ117" s="817"/>
      <c r="DA117" s="817"/>
      <c r="DB117" s="817"/>
      <c r="DC117" s="817"/>
      <c r="DD117" s="817"/>
      <c r="DE117" s="817"/>
      <c r="DF117" s="817"/>
      <c r="DG117" s="817"/>
      <c r="DH117" s="817"/>
      <c r="DI117" s="817"/>
      <c r="DJ117" s="817"/>
      <c r="DK117" s="817"/>
      <c r="DL117" s="817"/>
      <c r="DM117" s="817"/>
      <c r="DN117" s="817"/>
      <c r="DO117" s="817"/>
      <c r="DP117" s="817"/>
      <c r="DQ117" s="817"/>
      <c r="DR117" s="817"/>
      <c r="DS117" s="817"/>
      <c r="DT117" s="817"/>
      <c r="DU117" s="817"/>
      <c r="DV117" s="817"/>
      <c r="DW117" s="817"/>
      <c r="DX117" s="817"/>
      <c r="DY117" s="817"/>
      <c r="DZ117" s="817"/>
      <c r="EA117" s="817"/>
      <c r="EB117" s="817"/>
      <c r="EC117" s="817"/>
      <c r="ED117" s="817"/>
      <c r="EE117" s="817"/>
      <c r="EF117" s="817"/>
      <c r="EG117" s="817"/>
      <c r="EH117" s="817"/>
      <c r="EI117" s="817"/>
      <c r="EJ117" s="817"/>
    </row>
    <row r="118" spans="1:140" s="662" customFormat="1" ht="46.5">
      <c r="A118" s="600" t="s">
        <v>92</v>
      </c>
      <c r="B118" s="844" t="s">
        <v>799</v>
      </c>
      <c r="C118" s="766" t="s">
        <v>796</v>
      </c>
      <c r="D118" s="600">
        <v>1</v>
      </c>
      <c r="E118" s="600" t="s">
        <v>352</v>
      </c>
      <c r="F118" s="682">
        <f>H97/G118</f>
        <v>155</v>
      </c>
      <c r="G118" s="584">
        <f>Number_of_Districts</f>
        <v>174</v>
      </c>
      <c r="H118" s="683"/>
      <c r="I118" s="586">
        <f>J118/G118</f>
        <v>155</v>
      </c>
      <c r="J118" s="587">
        <f>M118/BudgetYears</f>
        <v>26970</v>
      </c>
      <c r="K118" s="684">
        <v>1</v>
      </c>
      <c r="L118" s="607">
        <f>(USFInternal)*J118</f>
        <v>18879</v>
      </c>
      <c r="M118" s="590">
        <f>(F118*G118)*(BudgetYears/K118)</f>
        <v>161820</v>
      </c>
      <c r="N118" s="590">
        <f>(M118)-(L118*3)</f>
        <v>105183</v>
      </c>
      <c r="O118" s="591" t="s">
        <v>18</v>
      </c>
      <c r="P118" s="590">
        <f>IF($O118="S/L or L",$M118,0)</f>
        <v>161820</v>
      </c>
      <c r="Q118" s="590">
        <f>IF($O118="L",$M118,0)</f>
        <v>0</v>
      </c>
      <c r="R118" s="590">
        <f>IF($O118="S",$M118,0)</f>
        <v>0</v>
      </c>
      <c r="S118" s="590">
        <f>IF($O118="F",$M118,0)</f>
        <v>0</v>
      </c>
      <c r="T118" s="590">
        <f>SUM(P118:S118)</f>
        <v>161820</v>
      </c>
      <c r="U118" s="592" t="s">
        <v>137</v>
      </c>
      <c r="V118" s="590">
        <f>IF($O118="S/L or L",$J118,0)</f>
        <v>26970</v>
      </c>
      <c r="W118" s="590">
        <f>IF($O118="L",$J118,0)</f>
        <v>0</v>
      </c>
      <c r="X118" s="590">
        <f>IF($O118="S",$J118,0)</f>
        <v>0</v>
      </c>
      <c r="Y118" s="590">
        <f>IF($O118="F",$J118,0)</f>
        <v>0</v>
      </c>
      <c r="Z118" s="593">
        <f>SUM(V118:Y118)</f>
        <v>26970</v>
      </c>
      <c r="AA118" s="590">
        <f>IF($O118="S/L or L",$L118,0)</f>
        <v>18879</v>
      </c>
      <c r="AB118" s="590">
        <f>IF($O118="L",$L118,0)</f>
        <v>0</v>
      </c>
      <c r="AC118" s="590">
        <f>IF($O118="S",$L118,0)</f>
        <v>0</v>
      </c>
      <c r="AD118" s="590">
        <f>IF($O118="F",$L118,0)</f>
        <v>0</v>
      </c>
      <c r="AE118" s="593">
        <f>SUM(AA118:AD118)</f>
        <v>18879</v>
      </c>
      <c r="AF118" s="543"/>
      <c r="AG118" s="837"/>
      <c r="AH118" s="837"/>
      <c r="AI118" s="837"/>
      <c r="AJ118" s="837"/>
      <c r="AK118" s="837"/>
      <c r="AL118" s="818"/>
      <c r="AM118" s="816"/>
      <c r="AN118" s="817"/>
      <c r="AO118" s="817"/>
      <c r="AP118" s="818"/>
      <c r="AQ118" s="838"/>
      <c r="AR118" s="817"/>
      <c r="AS118" s="817"/>
      <c r="AT118" s="817"/>
      <c r="AU118" s="817"/>
      <c r="AV118" s="817"/>
      <c r="AW118" s="817"/>
      <c r="AX118" s="817"/>
      <c r="AY118" s="817"/>
      <c r="AZ118" s="817"/>
      <c r="BA118" s="817"/>
      <c r="BB118" s="817"/>
      <c r="BC118" s="817"/>
      <c r="BD118" s="817"/>
      <c r="BE118" s="817"/>
      <c r="BF118" s="817"/>
      <c r="BG118" s="817"/>
      <c r="BH118" s="817"/>
      <c r="BI118" s="817"/>
      <c r="BJ118" s="817"/>
      <c r="BK118" s="817"/>
      <c r="BL118" s="817"/>
      <c r="BM118" s="817"/>
      <c r="BN118" s="817"/>
      <c r="BO118" s="817"/>
      <c r="BP118" s="817"/>
      <c r="BQ118" s="817"/>
      <c r="BR118" s="817"/>
      <c r="BS118" s="817"/>
      <c r="BT118" s="817"/>
      <c r="BU118" s="817"/>
      <c r="BV118" s="817"/>
      <c r="BW118" s="817"/>
      <c r="BX118" s="817"/>
      <c r="BY118" s="817"/>
      <c r="BZ118" s="817"/>
      <c r="CA118" s="817"/>
      <c r="CB118" s="817"/>
      <c r="CC118" s="817"/>
      <c r="CD118" s="817"/>
      <c r="CE118" s="817"/>
      <c r="CF118" s="817"/>
      <c r="CG118" s="817"/>
      <c r="CH118" s="817"/>
      <c r="CI118" s="817"/>
      <c r="CJ118" s="817"/>
      <c r="CK118" s="817"/>
      <c r="CL118" s="817"/>
      <c r="CM118" s="817"/>
      <c r="CN118" s="817"/>
      <c r="CO118" s="817"/>
      <c r="CP118" s="817"/>
      <c r="CQ118" s="817"/>
      <c r="CR118" s="817"/>
      <c r="CS118" s="817"/>
      <c r="CT118" s="817"/>
      <c r="CU118" s="817"/>
      <c r="CV118" s="817"/>
      <c r="CW118" s="817"/>
      <c r="CX118" s="817"/>
      <c r="CY118" s="817"/>
      <c r="CZ118" s="817"/>
      <c r="DA118" s="817"/>
      <c r="DB118" s="817"/>
      <c r="DC118" s="817"/>
      <c r="DD118" s="817"/>
      <c r="DE118" s="817"/>
      <c r="DF118" s="817"/>
      <c r="DG118" s="817"/>
      <c r="DH118" s="817"/>
      <c r="DI118" s="817"/>
      <c r="DJ118" s="817"/>
      <c r="DK118" s="817"/>
      <c r="DL118" s="817"/>
      <c r="DM118" s="817"/>
      <c r="DN118" s="817"/>
      <c r="DO118" s="817"/>
      <c r="DP118" s="817"/>
      <c r="DQ118" s="817"/>
      <c r="DR118" s="817"/>
      <c r="DS118" s="817"/>
      <c r="DT118" s="817"/>
      <c r="DU118" s="817"/>
      <c r="DV118" s="817"/>
      <c r="DW118" s="817"/>
      <c r="DX118" s="817"/>
      <c r="DY118" s="817"/>
      <c r="DZ118" s="817"/>
      <c r="EA118" s="817"/>
      <c r="EB118" s="817"/>
      <c r="EC118" s="817"/>
      <c r="ED118" s="817"/>
      <c r="EE118" s="817"/>
      <c r="EF118" s="817"/>
      <c r="EG118" s="817"/>
      <c r="EH118" s="817"/>
      <c r="EI118" s="817"/>
      <c r="EJ118" s="817"/>
    </row>
    <row r="119" spans="1:140" s="603" customFormat="1" ht="15">
      <c r="A119" s="600"/>
      <c r="B119" s="600"/>
      <c r="C119" s="600"/>
      <c r="D119" s="600"/>
      <c r="E119" s="600"/>
      <c r="F119" s="682"/>
      <c r="G119" s="584"/>
      <c r="H119" s="686"/>
      <c r="I119" s="586"/>
      <c r="J119" s="587"/>
      <c r="K119" s="684"/>
      <c r="L119" s="607"/>
      <c r="M119" s="590"/>
      <c r="N119" s="590"/>
      <c r="O119" s="591"/>
      <c r="P119" s="590"/>
      <c r="Q119" s="590"/>
      <c r="R119" s="590"/>
      <c r="S119" s="590"/>
      <c r="T119" s="590"/>
      <c r="U119" s="592"/>
      <c r="V119" s="590"/>
      <c r="W119" s="590"/>
      <c r="X119" s="590"/>
      <c r="Y119" s="590"/>
      <c r="Z119" s="592"/>
      <c r="AA119" s="590"/>
      <c r="AB119" s="590"/>
      <c r="AC119" s="590"/>
      <c r="AD119" s="590"/>
      <c r="AE119" s="592"/>
      <c r="AF119" s="599"/>
      <c r="AG119" s="758"/>
      <c r="AH119" s="758"/>
      <c r="AI119" s="758"/>
      <c r="AJ119" s="758"/>
      <c r="AK119" s="758"/>
      <c r="AL119" s="734"/>
      <c r="AM119" s="800"/>
      <c r="AN119" s="569"/>
      <c r="AO119" s="569"/>
      <c r="AP119" s="734"/>
      <c r="AQ119" s="575"/>
      <c r="AR119" s="569"/>
      <c r="AS119" s="569"/>
      <c r="AT119" s="569"/>
      <c r="AU119" s="569"/>
      <c r="AV119" s="569"/>
      <c r="AW119" s="569"/>
      <c r="AX119" s="569"/>
      <c r="AY119" s="569"/>
      <c r="AZ119" s="569"/>
      <c r="BA119" s="569"/>
      <c r="BB119" s="569"/>
      <c r="BC119" s="569"/>
      <c r="BD119" s="569"/>
      <c r="BE119" s="569"/>
      <c r="BF119" s="569"/>
      <c r="BG119" s="569"/>
      <c r="BH119" s="569"/>
      <c r="BI119" s="569"/>
      <c r="BJ119" s="569"/>
      <c r="BK119" s="569"/>
      <c r="BL119" s="569"/>
      <c r="BM119" s="569"/>
      <c r="BN119" s="569"/>
      <c r="BO119" s="569"/>
      <c r="BP119" s="569"/>
      <c r="BQ119" s="569"/>
      <c r="BR119" s="569"/>
      <c r="BS119" s="569"/>
      <c r="BT119" s="569"/>
      <c r="BU119" s="569"/>
      <c r="BV119" s="569"/>
      <c r="BW119" s="569"/>
      <c r="BX119" s="569"/>
      <c r="BY119" s="569"/>
      <c r="BZ119" s="569"/>
      <c r="CA119" s="569"/>
      <c r="CB119" s="569"/>
      <c r="CC119" s="569"/>
      <c r="CD119" s="569"/>
      <c r="CE119" s="569"/>
      <c r="CF119" s="569"/>
      <c r="CG119" s="569"/>
      <c r="CH119" s="569"/>
      <c r="CI119" s="569"/>
      <c r="CJ119" s="569"/>
      <c r="CK119" s="569"/>
      <c r="CL119" s="569"/>
      <c r="CM119" s="569"/>
      <c r="CN119" s="569"/>
      <c r="CO119" s="569"/>
      <c r="CP119" s="569"/>
      <c r="CQ119" s="569"/>
      <c r="CR119" s="569"/>
      <c r="CS119" s="569"/>
      <c r="CT119" s="569"/>
      <c r="CU119" s="569"/>
      <c r="CV119" s="569"/>
      <c r="CW119" s="569"/>
      <c r="CX119" s="569"/>
      <c r="CY119" s="569"/>
      <c r="CZ119" s="569"/>
      <c r="DA119" s="569"/>
      <c r="DB119" s="569"/>
      <c r="DC119" s="569"/>
      <c r="DD119" s="569"/>
      <c r="DE119" s="569"/>
      <c r="DF119" s="569"/>
      <c r="DG119" s="569"/>
      <c r="DH119" s="569"/>
      <c r="DI119" s="569"/>
      <c r="DJ119" s="569"/>
      <c r="DK119" s="569"/>
      <c r="DL119" s="569"/>
      <c r="DM119" s="569"/>
      <c r="DN119" s="569"/>
      <c r="DO119" s="569"/>
      <c r="DP119" s="569"/>
      <c r="DQ119" s="569"/>
      <c r="DR119" s="569"/>
      <c r="DS119" s="569"/>
      <c r="DT119" s="569"/>
      <c r="DU119" s="569"/>
      <c r="DV119" s="569"/>
      <c r="DW119" s="569"/>
      <c r="DX119" s="569"/>
      <c r="DY119" s="569"/>
      <c r="DZ119" s="569"/>
      <c r="EA119" s="569"/>
      <c r="EB119" s="569"/>
      <c r="EC119" s="569"/>
      <c r="ED119" s="569"/>
      <c r="EE119" s="569"/>
      <c r="EF119" s="569"/>
      <c r="EG119" s="569"/>
      <c r="EH119" s="569"/>
      <c r="EI119" s="569"/>
      <c r="EJ119" s="569"/>
    </row>
    <row r="120" spans="1:140" s="603" customFormat="1" ht="15">
      <c r="A120" s="600"/>
      <c r="B120" s="600"/>
      <c r="C120" s="600"/>
      <c r="D120" s="600"/>
      <c r="E120" s="600"/>
      <c r="F120" s="682"/>
      <c r="G120" s="584"/>
      <c r="H120" s="686"/>
      <c r="I120" s="586"/>
      <c r="J120" s="587"/>
      <c r="K120" s="684"/>
      <c r="L120" s="607"/>
      <c r="M120" s="590"/>
      <c r="N120" s="590"/>
      <c r="O120" s="591"/>
      <c r="P120" s="590"/>
      <c r="Q120" s="590"/>
      <c r="R120" s="590"/>
      <c r="S120" s="590"/>
      <c r="T120" s="590"/>
      <c r="U120" s="592"/>
      <c r="V120" s="590"/>
      <c r="W120" s="590"/>
      <c r="X120" s="590"/>
      <c r="Y120" s="590"/>
      <c r="Z120" s="592"/>
      <c r="AA120" s="590"/>
      <c r="AB120" s="590"/>
      <c r="AC120" s="590"/>
      <c r="AD120" s="590"/>
      <c r="AE120" s="592"/>
      <c r="AF120" s="599"/>
      <c r="AG120" s="758"/>
      <c r="AH120" s="758"/>
      <c r="AI120" s="758"/>
      <c r="AJ120" s="758"/>
      <c r="AK120" s="758"/>
      <c r="AL120" s="734"/>
      <c r="AM120" s="800"/>
      <c r="AN120" s="569"/>
      <c r="AO120" s="569"/>
      <c r="AP120" s="734"/>
      <c r="AQ120" s="575"/>
      <c r="AR120" s="569"/>
      <c r="AS120" s="569"/>
      <c r="AT120" s="569"/>
      <c r="AU120" s="569"/>
      <c r="AV120" s="569"/>
      <c r="AW120" s="569"/>
      <c r="AX120" s="569"/>
      <c r="AY120" s="569"/>
      <c r="AZ120" s="569"/>
      <c r="BA120" s="569"/>
      <c r="BB120" s="569"/>
      <c r="BC120" s="569"/>
      <c r="BD120" s="569"/>
      <c r="BE120" s="569"/>
      <c r="BF120" s="569"/>
      <c r="BG120" s="569"/>
      <c r="BH120" s="569"/>
      <c r="BI120" s="569"/>
      <c r="BJ120" s="569"/>
      <c r="BK120" s="569"/>
      <c r="BL120" s="569"/>
      <c r="BM120" s="569"/>
      <c r="BN120" s="569"/>
      <c r="BO120" s="569"/>
      <c r="BP120" s="569"/>
      <c r="BQ120" s="569"/>
      <c r="BR120" s="569"/>
      <c r="BS120" s="569"/>
      <c r="BT120" s="569"/>
      <c r="BU120" s="569"/>
      <c r="BV120" s="569"/>
      <c r="BW120" s="569"/>
      <c r="BX120" s="569"/>
      <c r="BY120" s="569"/>
      <c r="BZ120" s="569"/>
      <c r="CA120" s="569"/>
      <c r="CB120" s="569"/>
      <c r="CC120" s="569"/>
      <c r="CD120" s="569"/>
      <c r="CE120" s="569"/>
      <c r="CF120" s="569"/>
      <c r="CG120" s="569"/>
      <c r="CH120" s="569"/>
      <c r="CI120" s="569"/>
      <c r="CJ120" s="569"/>
      <c r="CK120" s="569"/>
      <c r="CL120" s="569"/>
      <c r="CM120" s="569"/>
      <c r="CN120" s="569"/>
      <c r="CO120" s="569"/>
      <c r="CP120" s="569"/>
      <c r="CQ120" s="569"/>
      <c r="CR120" s="569"/>
      <c r="CS120" s="569"/>
      <c r="CT120" s="569"/>
      <c r="CU120" s="569"/>
      <c r="CV120" s="569"/>
      <c r="CW120" s="569"/>
      <c r="CX120" s="569"/>
      <c r="CY120" s="569"/>
      <c r="CZ120" s="569"/>
      <c r="DA120" s="569"/>
      <c r="DB120" s="569"/>
      <c r="DC120" s="569"/>
      <c r="DD120" s="569"/>
      <c r="DE120" s="569"/>
      <c r="DF120" s="569"/>
      <c r="DG120" s="569"/>
      <c r="DH120" s="569"/>
      <c r="DI120" s="569"/>
      <c r="DJ120" s="569"/>
      <c r="DK120" s="569"/>
      <c r="DL120" s="569"/>
      <c r="DM120" s="569"/>
      <c r="DN120" s="569"/>
      <c r="DO120" s="569"/>
      <c r="DP120" s="569"/>
      <c r="DQ120" s="569"/>
      <c r="DR120" s="569"/>
      <c r="DS120" s="569"/>
      <c r="DT120" s="569"/>
      <c r="DU120" s="569"/>
      <c r="DV120" s="569"/>
      <c r="DW120" s="569"/>
      <c r="DX120" s="569"/>
      <c r="DY120" s="569"/>
      <c r="DZ120" s="569"/>
      <c r="EA120" s="569"/>
      <c r="EB120" s="569"/>
      <c r="EC120" s="569"/>
      <c r="ED120" s="569"/>
      <c r="EE120" s="569"/>
      <c r="EF120" s="569"/>
      <c r="EG120" s="569"/>
      <c r="EH120" s="569"/>
      <c r="EI120" s="569"/>
      <c r="EJ120" s="569"/>
    </row>
    <row r="121" spans="1:140" ht="15">
      <c r="A121" s="631" t="s">
        <v>93</v>
      </c>
      <c r="B121" s="624"/>
      <c r="C121" s="624"/>
      <c r="D121" s="624"/>
      <c r="E121" s="631"/>
      <c r="F121" s="687"/>
      <c r="G121" s="657"/>
      <c r="H121" s="658"/>
      <c r="I121" s="659">
        <f>SUM(I114:I118)</f>
        <v>35914.610366336026</v>
      </c>
      <c r="J121" s="659">
        <f>SUM(J114:J118)</f>
        <v>67418431.8028595</v>
      </c>
      <c r="K121" s="610"/>
      <c r="L121" s="659">
        <f>SUM(L114:L118)</f>
        <v>5841152.4556</v>
      </c>
      <c r="M121" s="659">
        <f>SUM(M114:M118)</f>
        <v>404510590.81715703</v>
      </c>
      <c r="N121" s="659">
        <f>SUM(N114:N118)</f>
        <v>386987133.4503571</v>
      </c>
      <c r="O121" s="639"/>
      <c r="P121" s="659">
        <f>SUM(P114:P118)</f>
        <v>404510590.81715703</v>
      </c>
      <c r="Q121" s="659">
        <f>SUM(Q114:Q118)</f>
        <v>0</v>
      </c>
      <c r="R121" s="659">
        <f>SUM(R114:R118)</f>
        <v>0</v>
      </c>
      <c r="S121" s="659">
        <f>SUM(S114:S118)</f>
        <v>0</v>
      </c>
      <c r="T121" s="625">
        <f>SUM(P121:S121)</f>
        <v>404510590.81715703</v>
      </c>
      <c r="U121" s="593">
        <v>214723.44013372596</v>
      </c>
      <c r="V121" s="659">
        <f aca="true" t="shared" si="33" ref="V121:AE121">SUM(V114:V118)</f>
        <v>67418431.8028595</v>
      </c>
      <c r="W121" s="659">
        <f t="shared" si="33"/>
        <v>0</v>
      </c>
      <c r="X121" s="659">
        <f t="shared" si="33"/>
        <v>0</v>
      </c>
      <c r="Y121" s="659">
        <f t="shared" si="33"/>
        <v>0</v>
      </c>
      <c r="Z121" s="659">
        <f t="shared" si="33"/>
        <v>67418431.8028595</v>
      </c>
      <c r="AA121" s="659">
        <f t="shared" si="33"/>
        <v>5841152.4556</v>
      </c>
      <c r="AB121" s="659">
        <f t="shared" si="33"/>
        <v>0</v>
      </c>
      <c r="AC121" s="659">
        <f t="shared" si="33"/>
        <v>0</v>
      </c>
      <c r="AD121" s="659">
        <f t="shared" si="33"/>
        <v>0</v>
      </c>
      <c r="AE121" s="659">
        <f t="shared" si="33"/>
        <v>5841152.4556</v>
      </c>
      <c r="AF121" s="618"/>
      <c r="AG121" s="830"/>
      <c r="AH121" s="830"/>
      <c r="AI121" s="830"/>
      <c r="AJ121" s="830"/>
      <c r="AK121" s="830"/>
      <c r="AL121" s="831"/>
      <c r="AM121" s="832"/>
      <c r="AN121" s="833"/>
      <c r="AO121" s="833"/>
      <c r="AP121" s="831"/>
      <c r="AQ121" s="834"/>
      <c r="AR121" s="833"/>
      <c r="AS121" s="833"/>
      <c r="AT121" s="833"/>
      <c r="AU121" s="833"/>
      <c r="AV121" s="833"/>
      <c r="AW121" s="833"/>
      <c r="AX121" s="833"/>
      <c r="AY121" s="833"/>
      <c r="AZ121" s="833"/>
      <c r="BA121" s="833"/>
      <c r="BB121" s="833"/>
      <c r="BC121" s="833"/>
      <c r="BD121" s="833"/>
      <c r="BE121" s="833"/>
      <c r="BF121" s="833"/>
      <c r="BG121" s="833"/>
      <c r="BH121" s="833"/>
      <c r="BI121" s="833"/>
      <c r="BJ121" s="833"/>
      <c r="BK121" s="833"/>
      <c r="BL121" s="833"/>
      <c r="BM121" s="833"/>
      <c r="BN121" s="833"/>
      <c r="BO121" s="833"/>
      <c r="BP121" s="833"/>
      <c r="BQ121" s="833"/>
      <c r="BR121" s="833"/>
      <c r="BS121" s="833"/>
      <c r="BT121" s="833"/>
      <c r="BU121" s="833"/>
      <c r="BV121" s="833"/>
      <c r="BW121" s="833"/>
      <c r="BX121" s="833"/>
      <c r="BY121" s="833"/>
      <c r="BZ121" s="833"/>
      <c r="CA121" s="833"/>
      <c r="CB121" s="833"/>
      <c r="CC121" s="833"/>
      <c r="CD121" s="833"/>
      <c r="CE121" s="833"/>
      <c r="CF121" s="833"/>
      <c r="CG121" s="833"/>
      <c r="CH121" s="833"/>
      <c r="CI121" s="833"/>
      <c r="CJ121" s="833"/>
      <c r="CK121" s="833"/>
      <c r="CL121" s="833"/>
      <c r="CM121" s="833"/>
      <c r="CN121" s="833"/>
      <c r="CO121" s="833"/>
      <c r="CP121" s="833"/>
      <c r="CQ121" s="833"/>
      <c r="CR121" s="833"/>
      <c r="CS121" s="833"/>
      <c r="CT121" s="833"/>
      <c r="CU121" s="833"/>
      <c r="CV121" s="833"/>
      <c r="CW121" s="833"/>
      <c r="CX121" s="833"/>
      <c r="CY121" s="833"/>
      <c r="CZ121" s="833"/>
      <c r="DA121" s="833"/>
      <c r="DB121" s="833"/>
      <c r="DC121" s="833"/>
      <c r="DD121" s="833"/>
      <c r="DE121" s="833"/>
      <c r="DF121" s="833"/>
      <c r="DG121" s="833"/>
      <c r="DH121" s="833"/>
      <c r="DI121" s="833"/>
      <c r="DJ121" s="833"/>
      <c r="DK121" s="833"/>
      <c r="DL121" s="833"/>
      <c r="DM121" s="833"/>
      <c r="DN121" s="833"/>
      <c r="DO121" s="833"/>
      <c r="DP121" s="833"/>
      <c r="DQ121" s="833"/>
      <c r="DR121" s="833"/>
      <c r="DS121" s="833"/>
      <c r="DT121" s="833"/>
      <c r="DU121" s="833"/>
      <c r="DV121" s="833"/>
      <c r="DW121" s="833"/>
      <c r="DX121" s="833"/>
      <c r="DY121" s="833"/>
      <c r="DZ121" s="833"/>
      <c r="EA121" s="833"/>
      <c r="EB121" s="833"/>
      <c r="EC121" s="833"/>
      <c r="ED121" s="833"/>
      <c r="EE121" s="833"/>
      <c r="EF121" s="833"/>
      <c r="EG121" s="833"/>
      <c r="EH121" s="833"/>
      <c r="EI121" s="833"/>
      <c r="EJ121" s="833"/>
    </row>
    <row r="122" spans="1:140" s="662" customFormat="1" ht="15">
      <c r="A122" s="767"/>
      <c r="B122" s="767"/>
      <c r="C122" s="767"/>
      <c r="D122" s="767"/>
      <c r="E122" s="767"/>
      <c r="F122" s="680"/>
      <c r="G122" s="681"/>
      <c r="H122" s="585"/>
      <c r="I122" s="586"/>
      <c r="J122" s="587"/>
      <c r="K122" s="588"/>
      <c r="L122" s="588"/>
      <c r="M122" s="590"/>
      <c r="N122" s="590"/>
      <c r="O122" s="591"/>
      <c r="P122" s="590"/>
      <c r="Q122" s="590"/>
      <c r="R122" s="590"/>
      <c r="S122" s="590"/>
      <c r="T122" s="590"/>
      <c r="U122" s="592"/>
      <c r="V122" s="590"/>
      <c r="W122" s="590"/>
      <c r="X122" s="590"/>
      <c r="Y122" s="590"/>
      <c r="Z122" s="593"/>
      <c r="AA122" s="590"/>
      <c r="AB122" s="590"/>
      <c r="AC122" s="590"/>
      <c r="AD122" s="590"/>
      <c r="AE122" s="593"/>
      <c r="AF122" s="594"/>
      <c r="AG122" s="578"/>
      <c r="AH122" s="578"/>
      <c r="AI122" s="578"/>
      <c r="AJ122" s="578"/>
      <c r="AK122" s="578"/>
      <c r="AL122" s="579"/>
      <c r="AM122" s="580"/>
      <c r="AN122" s="581"/>
      <c r="AO122" s="581"/>
      <c r="AP122" s="579"/>
      <c r="AQ122" s="582"/>
      <c r="AR122" s="581"/>
      <c r="AS122" s="581"/>
      <c r="AT122" s="581"/>
      <c r="AU122" s="581"/>
      <c r="AV122" s="581"/>
      <c r="AW122" s="581"/>
      <c r="AX122" s="581"/>
      <c r="AY122" s="581"/>
      <c r="AZ122" s="581"/>
      <c r="BA122" s="581"/>
      <c r="BB122" s="581"/>
      <c r="BC122" s="581"/>
      <c r="BD122" s="581"/>
      <c r="BE122" s="581"/>
      <c r="BF122" s="581"/>
      <c r="BG122" s="581"/>
      <c r="BH122" s="581"/>
      <c r="BI122" s="581"/>
      <c r="BJ122" s="581"/>
      <c r="BK122" s="581"/>
      <c r="BL122" s="581"/>
      <c r="BM122" s="581"/>
      <c r="BN122" s="581"/>
      <c r="BO122" s="581"/>
      <c r="BP122" s="581"/>
      <c r="BQ122" s="581"/>
      <c r="BR122" s="581"/>
      <c r="BS122" s="581"/>
      <c r="BT122" s="581"/>
      <c r="BU122" s="581"/>
      <c r="BV122" s="581"/>
      <c r="BW122" s="581"/>
      <c r="BX122" s="581"/>
      <c r="BY122" s="581"/>
      <c r="BZ122" s="581"/>
      <c r="CA122" s="581"/>
      <c r="CB122" s="581"/>
      <c r="CC122" s="581"/>
      <c r="CD122" s="581"/>
      <c r="CE122" s="581"/>
      <c r="CF122" s="581"/>
      <c r="CG122" s="581"/>
      <c r="CH122" s="581"/>
      <c r="CI122" s="581"/>
      <c r="CJ122" s="581"/>
      <c r="CK122" s="581"/>
      <c r="CL122" s="581"/>
      <c r="CM122" s="581"/>
      <c r="CN122" s="581"/>
      <c r="CO122" s="581"/>
      <c r="CP122" s="581"/>
      <c r="CQ122" s="581"/>
      <c r="CR122" s="581"/>
      <c r="CS122" s="581"/>
      <c r="CT122" s="581"/>
      <c r="CU122" s="581"/>
      <c r="CV122" s="581"/>
      <c r="CW122" s="581"/>
      <c r="CX122" s="581"/>
      <c r="CY122" s="581"/>
      <c r="CZ122" s="581"/>
      <c r="DA122" s="581"/>
      <c r="DB122" s="581"/>
      <c r="DC122" s="581"/>
      <c r="DD122" s="581"/>
      <c r="DE122" s="581"/>
      <c r="DF122" s="581"/>
      <c r="DG122" s="581"/>
      <c r="DH122" s="581"/>
      <c r="DI122" s="581"/>
      <c r="DJ122" s="581"/>
      <c r="DK122" s="581"/>
      <c r="DL122" s="581"/>
      <c r="DM122" s="581"/>
      <c r="DN122" s="581"/>
      <c r="DO122" s="581"/>
      <c r="DP122" s="581"/>
      <c r="DQ122" s="581"/>
      <c r="DR122" s="581"/>
      <c r="DS122" s="581"/>
      <c r="DT122" s="581"/>
      <c r="DU122" s="581"/>
      <c r="DV122" s="581"/>
      <c r="DW122" s="581"/>
      <c r="DX122" s="581"/>
      <c r="DY122" s="581"/>
      <c r="DZ122" s="581"/>
      <c r="EA122" s="581"/>
      <c r="EB122" s="581"/>
      <c r="EC122" s="581"/>
      <c r="ED122" s="581"/>
      <c r="EE122" s="581"/>
      <c r="EF122" s="581"/>
      <c r="EG122" s="581"/>
      <c r="EH122" s="581"/>
      <c r="EI122" s="581"/>
      <c r="EJ122" s="581"/>
    </row>
    <row r="123" spans="1:140" s="662" customFormat="1" ht="15">
      <c r="A123" s="624" t="s">
        <v>94</v>
      </c>
      <c r="B123" s="624"/>
      <c r="C123" s="624"/>
      <c r="D123" s="624"/>
      <c r="E123" s="624"/>
      <c r="F123" s="682"/>
      <c r="G123" s="584"/>
      <c r="H123" s="658"/>
      <c r="I123" s="586"/>
      <c r="J123" s="615"/>
      <c r="K123" s="606"/>
      <c r="L123" s="667"/>
      <c r="M123" s="625"/>
      <c r="N123" s="625"/>
      <c r="O123" s="591"/>
      <c r="P123" s="590"/>
      <c r="Q123" s="590"/>
      <c r="R123" s="590"/>
      <c r="S123" s="590"/>
      <c r="T123" s="590"/>
      <c r="U123" s="593"/>
      <c r="V123" s="590"/>
      <c r="W123" s="590"/>
      <c r="X123" s="590"/>
      <c r="Y123" s="590"/>
      <c r="Z123" s="593"/>
      <c r="AA123" s="625"/>
      <c r="AB123" s="625"/>
      <c r="AC123" s="625"/>
      <c r="AD123" s="625"/>
      <c r="AE123" s="593"/>
      <c r="AF123" s="594"/>
      <c r="AG123" s="578"/>
      <c r="AH123" s="578"/>
      <c r="AI123" s="578"/>
      <c r="AJ123" s="578"/>
      <c r="AK123" s="578"/>
      <c r="AL123" s="579"/>
      <c r="AM123" s="580"/>
      <c r="AN123" s="581"/>
      <c r="AO123" s="581"/>
      <c r="AP123" s="579"/>
      <c r="AQ123" s="582"/>
      <c r="AR123" s="581"/>
      <c r="AS123" s="581"/>
      <c r="AT123" s="581"/>
      <c r="AU123" s="581"/>
      <c r="AV123" s="581"/>
      <c r="AW123" s="581"/>
      <c r="AX123" s="581"/>
      <c r="AY123" s="581"/>
      <c r="AZ123" s="581"/>
      <c r="BA123" s="581"/>
      <c r="BB123" s="581"/>
      <c r="BC123" s="581"/>
      <c r="BD123" s="581"/>
      <c r="BE123" s="581"/>
      <c r="BF123" s="581"/>
      <c r="BG123" s="581"/>
      <c r="BH123" s="581"/>
      <c r="BI123" s="581"/>
      <c r="BJ123" s="581"/>
      <c r="BK123" s="581"/>
      <c r="BL123" s="581"/>
      <c r="BM123" s="581"/>
      <c r="BN123" s="581"/>
      <c r="BO123" s="581"/>
      <c r="BP123" s="581"/>
      <c r="BQ123" s="581"/>
      <c r="BR123" s="581"/>
      <c r="BS123" s="581"/>
      <c r="BT123" s="581"/>
      <c r="BU123" s="581"/>
      <c r="BV123" s="581"/>
      <c r="BW123" s="581"/>
      <c r="BX123" s="581"/>
      <c r="BY123" s="581"/>
      <c r="BZ123" s="581"/>
      <c r="CA123" s="581"/>
      <c r="CB123" s="581"/>
      <c r="CC123" s="581"/>
      <c r="CD123" s="581"/>
      <c r="CE123" s="581"/>
      <c r="CF123" s="581"/>
      <c r="CG123" s="581"/>
      <c r="CH123" s="581"/>
      <c r="CI123" s="581"/>
      <c r="CJ123" s="581"/>
      <c r="CK123" s="581"/>
      <c r="CL123" s="581"/>
      <c r="CM123" s="581"/>
      <c r="CN123" s="581"/>
      <c r="CO123" s="581"/>
      <c r="CP123" s="581"/>
      <c r="CQ123" s="581"/>
      <c r="CR123" s="581"/>
      <c r="CS123" s="581"/>
      <c r="CT123" s="581"/>
      <c r="CU123" s="581"/>
      <c r="CV123" s="581"/>
      <c r="CW123" s="581"/>
      <c r="CX123" s="581"/>
      <c r="CY123" s="581"/>
      <c r="CZ123" s="581"/>
      <c r="DA123" s="581"/>
      <c r="DB123" s="581"/>
      <c r="DC123" s="581"/>
      <c r="DD123" s="581"/>
      <c r="DE123" s="581"/>
      <c r="DF123" s="581"/>
      <c r="DG123" s="581"/>
      <c r="DH123" s="581"/>
      <c r="DI123" s="581"/>
      <c r="DJ123" s="581"/>
      <c r="DK123" s="581"/>
      <c r="DL123" s="581"/>
      <c r="DM123" s="581"/>
      <c r="DN123" s="581"/>
      <c r="DO123" s="581"/>
      <c r="DP123" s="581"/>
      <c r="DQ123" s="581"/>
      <c r="DR123" s="581"/>
      <c r="DS123" s="581"/>
      <c r="DT123" s="581"/>
      <c r="DU123" s="581"/>
      <c r="DV123" s="581"/>
      <c r="DW123" s="581"/>
      <c r="DX123" s="581"/>
      <c r="DY123" s="581"/>
      <c r="DZ123" s="581"/>
      <c r="EA123" s="581"/>
      <c r="EB123" s="581"/>
      <c r="EC123" s="581"/>
      <c r="ED123" s="581"/>
      <c r="EE123" s="581"/>
      <c r="EF123" s="581"/>
      <c r="EG123" s="581"/>
      <c r="EH123" s="581"/>
      <c r="EI123" s="581"/>
      <c r="EJ123" s="581"/>
    </row>
    <row r="124" spans="1:140" s="678" customFormat="1" ht="61.5">
      <c r="A124" s="600" t="s">
        <v>897</v>
      </c>
      <c r="B124" s="763" t="s">
        <v>800</v>
      </c>
      <c r="C124" s="842" t="s">
        <v>963</v>
      </c>
      <c r="D124" s="600">
        <v>1</v>
      </c>
      <c r="E124" s="600" t="s">
        <v>964</v>
      </c>
      <c r="F124" s="645">
        <v>53</v>
      </c>
      <c r="G124" s="681">
        <f>Number_of_Students/Student_Workstation_Ratio</f>
        <v>197725.68766666666</v>
      </c>
      <c r="H124" s="585"/>
      <c r="I124" s="586">
        <f>J124/G124</f>
        <v>53</v>
      </c>
      <c r="J124" s="587">
        <f>M124/BudgetYears</f>
        <v>10479461.446333334</v>
      </c>
      <c r="K124" s="588">
        <v>1</v>
      </c>
      <c r="L124" s="589">
        <f>G124*Software!C178</f>
        <v>0</v>
      </c>
      <c r="M124" s="590">
        <f>(F124*G124)*(BudgetYears/K124)</f>
        <v>62876768.678</v>
      </c>
      <c r="N124" s="590">
        <f>(M124)-(L124*3)</f>
        <v>62876768.678</v>
      </c>
      <c r="O124" s="591" t="s">
        <v>18</v>
      </c>
      <c r="P124" s="590">
        <f>IF($O124="S/L or L",$M124,0)</f>
        <v>62876768.678</v>
      </c>
      <c r="Q124" s="590">
        <f>IF($O124="L",$M124,0)</f>
        <v>0</v>
      </c>
      <c r="R124" s="590">
        <f>IF($O124="S",$M124,0)</f>
        <v>0</v>
      </c>
      <c r="S124" s="590">
        <f>IF($O124="F",$M124,0)</f>
        <v>0</v>
      </c>
      <c r="T124" s="590">
        <f>SUM(P124:S124)</f>
        <v>62876768.678</v>
      </c>
      <c r="U124" s="592" t="s">
        <v>25</v>
      </c>
      <c r="V124" s="590">
        <f>IF($O124="S/L or L",$J124,0)</f>
        <v>10479461.446333334</v>
      </c>
      <c r="W124" s="590">
        <f>IF($O124="L",$J124,0)</f>
        <v>0</v>
      </c>
      <c r="X124" s="590">
        <f>IF($O124="S",$J124,0)</f>
        <v>0</v>
      </c>
      <c r="Y124" s="590">
        <f>IF($O124="F",$J124,0)</f>
        <v>0</v>
      </c>
      <c r="Z124" s="593">
        <f>SUM(V124:Y124)</f>
        <v>10479461.446333334</v>
      </c>
      <c r="AA124" s="590">
        <f>IF($O124="S/L or L",$L124,0)</f>
        <v>0</v>
      </c>
      <c r="AB124" s="590">
        <f>IF($O124="L",$L124,0)</f>
        <v>0</v>
      </c>
      <c r="AC124" s="590">
        <f>IF($O124="S",$L124,0)</f>
        <v>0</v>
      </c>
      <c r="AD124" s="590">
        <f>IF($O124="F",$L124,0)</f>
        <v>0</v>
      </c>
      <c r="AE124" s="593">
        <f>SUM(AA124:AD124)</f>
        <v>0</v>
      </c>
      <c r="AF124" s="594"/>
      <c r="AG124" s="578"/>
      <c r="AH124" s="578"/>
      <c r="AI124" s="578"/>
      <c r="AJ124" s="578"/>
      <c r="AK124" s="578"/>
      <c r="AL124" s="579"/>
      <c r="AM124" s="580"/>
      <c r="AN124" s="581"/>
      <c r="AO124" s="581"/>
      <c r="AP124" s="579"/>
      <c r="AQ124" s="582"/>
      <c r="AR124" s="581"/>
      <c r="AS124" s="581"/>
      <c r="AT124" s="581"/>
      <c r="AU124" s="581"/>
      <c r="AV124" s="581"/>
      <c r="AW124" s="581"/>
      <c r="AX124" s="581"/>
      <c r="AY124" s="581"/>
      <c r="AZ124" s="581"/>
      <c r="BA124" s="581"/>
      <c r="BB124" s="581"/>
      <c r="BC124" s="581"/>
      <c r="BD124" s="581"/>
      <c r="BE124" s="581"/>
      <c r="BF124" s="581"/>
      <c r="BG124" s="581"/>
      <c r="BH124" s="581"/>
      <c r="BI124" s="581"/>
      <c r="BJ124" s="581"/>
      <c r="BK124" s="581"/>
      <c r="BL124" s="581"/>
      <c r="BM124" s="581"/>
      <c r="BN124" s="581"/>
      <c r="BO124" s="581"/>
      <c r="BP124" s="581"/>
      <c r="BQ124" s="581"/>
      <c r="BR124" s="581"/>
      <c r="BS124" s="581"/>
      <c r="BT124" s="581"/>
      <c r="BU124" s="581"/>
      <c r="BV124" s="581"/>
      <c r="BW124" s="581"/>
      <c r="BX124" s="581"/>
      <c r="BY124" s="581"/>
      <c r="BZ124" s="581"/>
      <c r="CA124" s="581"/>
      <c r="CB124" s="581"/>
      <c r="CC124" s="581"/>
      <c r="CD124" s="581"/>
      <c r="CE124" s="581"/>
      <c r="CF124" s="581"/>
      <c r="CG124" s="581"/>
      <c r="CH124" s="581"/>
      <c r="CI124" s="581"/>
      <c r="CJ124" s="581"/>
      <c r="CK124" s="581"/>
      <c r="CL124" s="581"/>
      <c r="CM124" s="581"/>
      <c r="CN124" s="581"/>
      <c r="CO124" s="581"/>
      <c r="CP124" s="581"/>
      <c r="CQ124" s="581"/>
      <c r="CR124" s="581"/>
      <c r="CS124" s="581"/>
      <c r="CT124" s="581"/>
      <c r="CU124" s="581"/>
      <c r="CV124" s="581"/>
      <c r="CW124" s="581"/>
      <c r="CX124" s="581"/>
      <c r="CY124" s="581"/>
      <c r="CZ124" s="581"/>
      <c r="DA124" s="581"/>
      <c r="DB124" s="581"/>
      <c r="DC124" s="581"/>
      <c r="DD124" s="581"/>
      <c r="DE124" s="581"/>
      <c r="DF124" s="581"/>
      <c r="DG124" s="581"/>
      <c r="DH124" s="581"/>
      <c r="DI124" s="581"/>
      <c r="DJ124" s="581"/>
      <c r="DK124" s="581"/>
      <c r="DL124" s="581"/>
      <c r="DM124" s="581"/>
      <c r="DN124" s="581"/>
      <c r="DO124" s="581"/>
      <c r="DP124" s="581"/>
      <c r="DQ124" s="581"/>
      <c r="DR124" s="581"/>
      <c r="DS124" s="581"/>
      <c r="DT124" s="581"/>
      <c r="DU124" s="581"/>
      <c r="DV124" s="581"/>
      <c r="DW124" s="581"/>
      <c r="DX124" s="581"/>
      <c r="DY124" s="581"/>
      <c r="DZ124" s="581"/>
      <c r="EA124" s="581"/>
      <c r="EB124" s="581"/>
      <c r="EC124" s="581"/>
      <c r="ED124" s="581"/>
      <c r="EE124" s="581"/>
      <c r="EF124" s="581"/>
      <c r="EG124" s="581"/>
      <c r="EH124" s="581"/>
      <c r="EI124" s="581"/>
      <c r="EJ124" s="581"/>
    </row>
    <row r="125" spans="1:140" s="688" customFormat="1" ht="15">
      <c r="A125" s="600"/>
      <c r="B125" s="600"/>
      <c r="C125" s="600"/>
      <c r="D125" s="600"/>
      <c r="E125" s="600"/>
      <c r="F125" s="682"/>
      <c r="G125" s="681"/>
      <c r="H125" s="587"/>
      <c r="I125" s="586"/>
      <c r="J125" s="587"/>
      <c r="K125" s="588"/>
      <c r="L125" s="589"/>
      <c r="M125" s="590"/>
      <c r="N125" s="590"/>
      <c r="O125" s="591"/>
      <c r="P125" s="590"/>
      <c r="Q125" s="590"/>
      <c r="R125" s="590"/>
      <c r="S125" s="590"/>
      <c r="T125" s="590"/>
      <c r="U125" s="592"/>
      <c r="V125" s="590"/>
      <c r="W125" s="590"/>
      <c r="X125" s="590"/>
      <c r="Y125" s="590"/>
      <c r="Z125" s="593"/>
      <c r="AA125" s="590"/>
      <c r="AB125" s="590"/>
      <c r="AC125" s="590"/>
      <c r="AD125" s="590"/>
      <c r="AE125" s="593"/>
      <c r="AF125" s="599"/>
      <c r="AG125" s="758"/>
      <c r="AH125" s="760"/>
      <c r="AI125" s="759"/>
      <c r="AJ125" s="758"/>
      <c r="AK125" s="758"/>
      <c r="AL125" s="734"/>
      <c r="AM125" s="800"/>
      <c r="AN125" s="569"/>
      <c r="AO125" s="569"/>
      <c r="AP125" s="734"/>
      <c r="AQ125" s="575"/>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c r="BV125" s="569"/>
      <c r="BW125" s="569"/>
      <c r="BX125" s="569"/>
      <c r="BY125" s="569"/>
      <c r="BZ125" s="569"/>
      <c r="CA125" s="569"/>
      <c r="CB125" s="569"/>
      <c r="CC125" s="569"/>
      <c r="CD125" s="569"/>
      <c r="CE125" s="569"/>
      <c r="CF125" s="569"/>
      <c r="CG125" s="569"/>
      <c r="CH125" s="569"/>
      <c r="CI125" s="569"/>
      <c r="CJ125" s="569"/>
      <c r="CK125" s="569"/>
      <c r="CL125" s="569"/>
      <c r="CM125" s="569"/>
      <c r="CN125" s="569"/>
      <c r="CO125" s="569"/>
      <c r="CP125" s="569"/>
      <c r="CQ125" s="569"/>
      <c r="CR125" s="569"/>
      <c r="CS125" s="569"/>
      <c r="CT125" s="569"/>
      <c r="CU125" s="569"/>
      <c r="CV125" s="569"/>
      <c r="CW125" s="569"/>
      <c r="CX125" s="569"/>
      <c r="CY125" s="569"/>
      <c r="CZ125" s="569"/>
      <c r="DA125" s="569"/>
      <c r="DB125" s="569"/>
      <c r="DC125" s="569"/>
      <c r="DD125" s="569"/>
      <c r="DE125" s="569"/>
      <c r="DF125" s="569"/>
      <c r="DG125" s="569"/>
      <c r="DH125" s="569"/>
      <c r="DI125" s="569"/>
      <c r="DJ125" s="569"/>
      <c r="DK125" s="569"/>
      <c r="DL125" s="569"/>
      <c r="DM125" s="569"/>
      <c r="DN125" s="569"/>
      <c r="DO125" s="569"/>
      <c r="DP125" s="569"/>
      <c r="DQ125" s="569"/>
      <c r="DR125" s="569"/>
      <c r="DS125" s="569"/>
      <c r="DT125" s="569"/>
      <c r="DU125" s="569"/>
      <c r="DV125" s="569"/>
      <c r="DW125" s="569"/>
      <c r="DX125" s="569"/>
      <c r="DY125" s="569"/>
      <c r="DZ125" s="569"/>
      <c r="EA125" s="569"/>
      <c r="EB125" s="569"/>
      <c r="EC125" s="569"/>
      <c r="ED125" s="569"/>
      <c r="EE125" s="569"/>
      <c r="EF125" s="569"/>
      <c r="EG125" s="569"/>
      <c r="EH125" s="569"/>
      <c r="EI125" s="569"/>
      <c r="EJ125" s="569"/>
    </row>
    <row r="126" spans="1:140" s="662" customFormat="1" ht="93">
      <c r="A126" s="600" t="s">
        <v>899</v>
      </c>
      <c r="B126" s="763" t="s">
        <v>801</v>
      </c>
      <c r="C126" s="842" t="s">
        <v>802</v>
      </c>
      <c r="D126" s="600">
        <v>1</v>
      </c>
      <c r="E126" s="600" t="s">
        <v>803</v>
      </c>
      <c r="F126" s="682">
        <v>116</v>
      </c>
      <c r="G126" s="584">
        <v>4394</v>
      </c>
      <c r="H126" s="658"/>
      <c r="I126" s="586">
        <f>J126/G126</f>
        <v>19.333333333333336</v>
      </c>
      <c r="J126" s="587">
        <f>M126/BudgetYears</f>
        <v>84950.66666666667</v>
      </c>
      <c r="K126" s="606">
        <v>6</v>
      </c>
      <c r="L126" s="607">
        <f>(USFInternal)*J126</f>
        <v>59465.46666666667</v>
      </c>
      <c r="M126" s="590">
        <f>(F126*G126)*(BudgetYears/K126)</f>
        <v>509704</v>
      </c>
      <c r="N126" s="590">
        <f>(M126)-(L126*3)</f>
        <v>331307.6</v>
      </c>
      <c r="O126" s="591" t="s">
        <v>18</v>
      </c>
      <c r="P126" s="590">
        <f>IF($O126="S/L or L",$M126,0)</f>
        <v>509704</v>
      </c>
      <c r="Q126" s="590">
        <f>IF($O126="L",$M126,0)</f>
        <v>0</v>
      </c>
      <c r="R126" s="590">
        <f>IF($O126="S",$M126,0)</f>
        <v>0</v>
      </c>
      <c r="S126" s="590">
        <f>IF($O126="F",$M126,0)</f>
        <v>0</v>
      </c>
      <c r="T126" s="590">
        <f>SUM(P126:S126)</f>
        <v>509704</v>
      </c>
      <c r="U126" s="608" t="s">
        <v>25</v>
      </c>
      <c r="V126" s="590">
        <f>IF($O126="S/L or L",$J126,0)</f>
        <v>84950.66666666667</v>
      </c>
      <c r="W126" s="590">
        <f>IF($O126="L",$J126,0)</f>
        <v>0</v>
      </c>
      <c r="X126" s="590">
        <f>IF($O126="S",$J126,0)</f>
        <v>0</v>
      </c>
      <c r="Y126" s="590">
        <f>IF($O126="F",$J126,0)</f>
        <v>0</v>
      </c>
      <c r="Z126" s="593">
        <f>SUM(V126:Y126)</f>
        <v>84950.66666666667</v>
      </c>
      <c r="AA126" s="590">
        <f>IF($O126="S/L or L",$L126,0)</f>
        <v>59465.46666666667</v>
      </c>
      <c r="AB126" s="590">
        <f>IF($O126="L",$L126,0)</f>
        <v>0</v>
      </c>
      <c r="AC126" s="590">
        <f>IF($O126="S",$L126,0)</f>
        <v>0</v>
      </c>
      <c r="AD126" s="590">
        <f>IF($O126="F",$L126,0)</f>
        <v>0</v>
      </c>
      <c r="AE126" s="593">
        <f>SUM(AA126:AD126)</f>
        <v>59465.46666666667</v>
      </c>
      <c r="AF126" s="594"/>
      <c r="AG126" s="578"/>
      <c r="AH126" s="578"/>
      <c r="AI126" s="578"/>
      <c r="AJ126" s="578"/>
      <c r="AK126" s="578"/>
      <c r="AL126" s="579"/>
      <c r="AM126" s="580"/>
      <c r="AN126" s="581"/>
      <c r="AO126" s="581"/>
      <c r="AP126" s="734"/>
      <c r="AQ126" s="582"/>
      <c r="AR126" s="581"/>
      <c r="AS126" s="581"/>
      <c r="AT126" s="581"/>
      <c r="AU126" s="581"/>
      <c r="AV126" s="581"/>
      <c r="AW126" s="581"/>
      <c r="AX126" s="581"/>
      <c r="AY126" s="581"/>
      <c r="AZ126" s="581"/>
      <c r="BA126" s="581"/>
      <c r="BB126" s="581"/>
      <c r="BC126" s="581"/>
      <c r="BD126" s="581"/>
      <c r="BE126" s="581"/>
      <c r="BF126" s="581"/>
      <c r="BG126" s="581"/>
      <c r="BH126" s="581"/>
      <c r="BI126" s="581"/>
      <c r="BJ126" s="581"/>
      <c r="BK126" s="581"/>
      <c r="BL126" s="581"/>
      <c r="BM126" s="581"/>
      <c r="BN126" s="581"/>
      <c r="BO126" s="581"/>
      <c r="BP126" s="581"/>
      <c r="BQ126" s="581"/>
      <c r="BR126" s="581"/>
      <c r="BS126" s="581"/>
      <c r="BT126" s="581"/>
      <c r="BU126" s="581"/>
      <c r="BV126" s="581"/>
      <c r="BW126" s="581"/>
      <c r="BX126" s="581"/>
      <c r="BY126" s="581"/>
      <c r="BZ126" s="581"/>
      <c r="CA126" s="581"/>
      <c r="CB126" s="581"/>
      <c r="CC126" s="581"/>
      <c r="CD126" s="581"/>
      <c r="CE126" s="581"/>
      <c r="CF126" s="581"/>
      <c r="CG126" s="581"/>
      <c r="CH126" s="581"/>
      <c r="CI126" s="581"/>
      <c r="CJ126" s="581"/>
      <c r="CK126" s="581"/>
      <c r="CL126" s="581"/>
      <c r="CM126" s="581"/>
      <c r="CN126" s="581"/>
      <c r="CO126" s="581"/>
      <c r="CP126" s="581"/>
      <c r="CQ126" s="581"/>
      <c r="CR126" s="581"/>
      <c r="CS126" s="581"/>
      <c r="CT126" s="581"/>
      <c r="CU126" s="581"/>
      <c r="CV126" s="581"/>
      <c r="CW126" s="581"/>
      <c r="CX126" s="581"/>
      <c r="CY126" s="581"/>
      <c r="CZ126" s="581"/>
      <c r="DA126" s="581"/>
      <c r="DB126" s="581"/>
      <c r="DC126" s="581"/>
      <c r="DD126" s="581"/>
      <c r="DE126" s="581"/>
      <c r="DF126" s="581"/>
      <c r="DG126" s="581"/>
      <c r="DH126" s="581"/>
      <c r="DI126" s="581"/>
      <c r="DJ126" s="581"/>
      <c r="DK126" s="581"/>
      <c r="DL126" s="581"/>
      <c r="DM126" s="581"/>
      <c r="DN126" s="581"/>
      <c r="DO126" s="581"/>
      <c r="DP126" s="581"/>
      <c r="DQ126" s="581"/>
      <c r="DR126" s="581"/>
      <c r="DS126" s="581"/>
      <c r="DT126" s="581"/>
      <c r="DU126" s="581"/>
      <c r="DV126" s="581"/>
      <c r="DW126" s="581"/>
      <c r="DX126" s="581"/>
      <c r="DY126" s="581"/>
      <c r="DZ126" s="581"/>
      <c r="EA126" s="581"/>
      <c r="EB126" s="581"/>
      <c r="EC126" s="581"/>
      <c r="ED126" s="581"/>
      <c r="EE126" s="581"/>
      <c r="EF126" s="581"/>
      <c r="EG126" s="581"/>
      <c r="EH126" s="581"/>
      <c r="EI126" s="581"/>
      <c r="EJ126" s="581"/>
    </row>
    <row r="127" spans="1:140" s="689" customFormat="1" ht="15">
      <c r="A127" s="600"/>
      <c r="B127" s="600"/>
      <c r="C127" s="600"/>
      <c r="D127" s="600"/>
      <c r="E127" s="600"/>
      <c r="F127" s="682"/>
      <c r="G127" s="584"/>
      <c r="H127" s="659"/>
      <c r="I127" s="586"/>
      <c r="J127" s="587"/>
      <c r="K127" s="606"/>
      <c r="L127" s="607"/>
      <c r="M127" s="590"/>
      <c r="N127" s="590"/>
      <c r="O127" s="591"/>
      <c r="P127" s="590"/>
      <c r="Q127" s="590"/>
      <c r="R127" s="590"/>
      <c r="S127" s="590"/>
      <c r="T127" s="590"/>
      <c r="U127" s="608"/>
      <c r="V127" s="590"/>
      <c r="W127" s="590"/>
      <c r="X127" s="590"/>
      <c r="Y127" s="590"/>
      <c r="Z127" s="593"/>
      <c r="AA127" s="590"/>
      <c r="AB127" s="590"/>
      <c r="AC127" s="590"/>
      <c r="AD127" s="590"/>
      <c r="AE127" s="593"/>
      <c r="AF127" s="599"/>
      <c r="AG127" s="758"/>
      <c r="AH127" s="760"/>
      <c r="AI127" s="759"/>
      <c r="AJ127" s="758"/>
      <c r="AK127" s="758"/>
      <c r="AL127" s="734"/>
      <c r="AM127" s="800"/>
      <c r="AN127" s="569"/>
      <c r="AO127" s="569"/>
      <c r="AP127" s="734"/>
      <c r="AQ127" s="575"/>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69"/>
      <c r="BM127" s="569"/>
      <c r="BN127" s="569"/>
      <c r="BO127" s="569"/>
      <c r="BP127" s="569"/>
      <c r="BQ127" s="569"/>
      <c r="BR127" s="569"/>
      <c r="BS127" s="569"/>
      <c r="BT127" s="569"/>
      <c r="BU127" s="569"/>
      <c r="BV127" s="569"/>
      <c r="BW127" s="569"/>
      <c r="BX127" s="569"/>
      <c r="BY127" s="569"/>
      <c r="BZ127" s="569"/>
      <c r="CA127" s="569"/>
      <c r="CB127" s="569"/>
      <c r="CC127" s="569"/>
      <c r="CD127" s="569"/>
      <c r="CE127" s="569"/>
      <c r="CF127" s="569"/>
      <c r="CG127" s="569"/>
      <c r="CH127" s="569"/>
      <c r="CI127" s="569"/>
      <c r="CJ127" s="569"/>
      <c r="CK127" s="569"/>
      <c r="CL127" s="569"/>
      <c r="CM127" s="569"/>
      <c r="CN127" s="569"/>
      <c r="CO127" s="569"/>
      <c r="CP127" s="569"/>
      <c r="CQ127" s="569"/>
      <c r="CR127" s="569"/>
      <c r="CS127" s="569"/>
      <c r="CT127" s="569"/>
      <c r="CU127" s="569"/>
      <c r="CV127" s="569"/>
      <c r="CW127" s="569"/>
      <c r="CX127" s="569"/>
      <c r="CY127" s="569"/>
      <c r="CZ127" s="569"/>
      <c r="DA127" s="569"/>
      <c r="DB127" s="569"/>
      <c r="DC127" s="569"/>
      <c r="DD127" s="569"/>
      <c r="DE127" s="569"/>
      <c r="DF127" s="569"/>
      <c r="DG127" s="569"/>
      <c r="DH127" s="569"/>
      <c r="DI127" s="569"/>
      <c r="DJ127" s="569"/>
      <c r="DK127" s="569"/>
      <c r="DL127" s="569"/>
      <c r="DM127" s="569"/>
      <c r="DN127" s="569"/>
      <c r="DO127" s="569"/>
      <c r="DP127" s="569"/>
      <c r="DQ127" s="569"/>
      <c r="DR127" s="569"/>
      <c r="DS127" s="569"/>
      <c r="DT127" s="569"/>
      <c r="DU127" s="569"/>
      <c r="DV127" s="569"/>
      <c r="DW127" s="569"/>
      <c r="DX127" s="569"/>
      <c r="DY127" s="569"/>
      <c r="DZ127" s="569"/>
      <c r="EA127" s="569"/>
      <c r="EB127" s="569"/>
      <c r="EC127" s="569"/>
      <c r="ED127" s="569"/>
      <c r="EE127" s="569"/>
      <c r="EF127" s="569"/>
      <c r="EG127" s="569"/>
      <c r="EH127" s="569"/>
      <c r="EI127" s="569"/>
      <c r="EJ127" s="569"/>
    </row>
    <row r="128" spans="1:140" s="620" customFormat="1" ht="46.5">
      <c r="A128" s="600" t="s">
        <v>1317</v>
      </c>
      <c r="B128" s="763" t="s">
        <v>804</v>
      </c>
      <c r="C128" s="842" t="s">
        <v>805</v>
      </c>
      <c r="D128" s="600">
        <v>1</v>
      </c>
      <c r="E128" s="754" t="s">
        <v>0</v>
      </c>
      <c r="F128" s="645">
        <f>'IC Costs 2012'!C180</f>
        <v>4100282.170000002</v>
      </c>
      <c r="G128" s="584">
        <v>1</v>
      </c>
      <c r="H128" s="658"/>
      <c r="I128" s="586">
        <f aca="true" t="shared" si="34" ref="I128:I133">J128/G128</f>
        <v>4100282.170000002</v>
      </c>
      <c r="J128" s="587">
        <f>M128/BudgetYears</f>
        <v>4100282.170000002</v>
      </c>
      <c r="K128" s="606">
        <v>1</v>
      </c>
      <c r="L128" s="607">
        <v>0</v>
      </c>
      <c r="M128" s="590">
        <f>(F128*G128)*(BudgetYears/K128)</f>
        <v>24601693.02000001</v>
      </c>
      <c r="N128" s="590">
        <f>(M128)-(L128*3)</f>
        <v>24601693.02000001</v>
      </c>
      <c r="O128" s="591" t="s">
        <v>18</v>
      </c>
      <c r="P128" s="590">
        <f>IF($O128="S/L or L",$M128,0)</f>
        <v>24601693.02000001</v>
      </c>
      <c r="Q128" s="590">
        <f>IF($O128="L",$M128,0)</f>
        <v>0</v>
      </c>
      <c r="R128" s="590">
        <f>IF($O128="S",$M128,0)</f>
        <v>0</v>
      </c>
      <c r="S128" s="590">
        <f>IF($O128="F",$M128,0)</f>
        <v>0</v>
      </c>
      <c r="T128" s="590">
        <f>SUM(P128:S128)</f>
        <v>24601693.02000001</v>
      </c>
      <c r="U128" s="608"/>
      <c r="V128" s="590">
        <f>IF($O128="S/L or L",$J128,0)</f>
        <v>4100282.170000002</v>
      </c>
      <c r="W128" s="590">
        <f>IF($O128="L",$J128,0)</f>
        <v>0</v>
      </c>
      <c r="X128" s="590">
        <f>IF($O128="S",$J128,0)</f>
        <v>0</v>
      </c>
      <c r="Y128" s="590">
        <f>IF($O128="F",$J128,0)</f>
        <v>0</v>
      </c>
      <c r="Z128" s="593">
        <f>SUM(V128:Y128)</f>
        <v>4100282.170000002</v>
      </c>
      <c r="AA128" s="590">
        <f>IF($O128="S/L or L",$L128,0)</f>
        <v>0</v>
      </c>
      <c r="AB128" s="590">
        <f>IF($O128="L",$L128,0)</f>
        <v>0</v>
      </c>
      <c r="AC128" s="590">
        <f>IF($O128="S",$L128,0)</f>
        <v>0</v>
      </c>
      <c r="AD128" s="590">
        <f>IF($O128="F",$L128,0)</f>
        <v>0</v>
      </c>
      <c r="AE128" s="593">
        <f>SUM(AA128:AD128)</f>
        <v>0</v>
      </c>
      <c r="AF128" s="543"/>
      <c r="AG128" s="837"/>
      <c r="AH128" s="837"/>
      <c r="AI128" s="837"/>
      <c r="AJ128" s="837"/>
      <c r="AK128" s="837"/>
      <c r="AL128" s="818"/>
      <c r="AM128" s="816"/>
      <c r="AN128" s="817"/>
      <c r="AO128" s="817"/>
      <c r="AP128" s="818"/>
      <c r="AQ128" s="838"/>
      <c r="AR128" s="817"/>
      <c r="AS128" s="817"/>
      <c r="AT128" s="817"/>
      <c r="AU128" s="817"/>
      <c r="AV128" s="817"/>
      <c r="AW128" s="817"/>
      <c r="AX128" s="817"/>
      <c r="AY128" s="817"/>
      <c r="AZ128" s="817"/>
      <c r="BA128" s="817"/>
      <c r="BB128" s="817"/>
      <c r="BC128" s="817"/>
      <c r="BD128" s="817"/>
      <c r="BE128" s="817"/>
      <c r="BF128" s="817"/>
      <c r="BG128" s="817"/>
      <c r="BH128" s="817"/>
      <c r="BI128" s="817"/>
      <c r="BJ128" s="817"/>
      <c r="BK128" s="817"/>
      <c r="BL128" s="817"/>
      <c r="BM128" s="817"/>
      <c r="BN128" s="817"/>
      <c r="BO128" s="817"/>
      <c r="BP128" s="817"/>
      <c r="BQ128" s="817"/>
      <c r="BR128" s="817"/>
      <c r="BS128" s="817"/>
      <c r="BT128" s="817"/>
      <c r="BU128" s="817"/>
      <c r="BV128" s="817"/>
      <c r="BW128" s="817"/>
      <c r="BX128" s="817"/>
      <c r="BY128" s="817"/>
      <c r="BZ128" s="817"/>
      <c r="CA128" s="817"/>
      <c r="CB128" s="817"/>
      <c r="CC128" s="817"/>
      <c r="CD128" s="817"/>
      <c r="CE128" s="817"/>
      <c r="CF128" s="817"/>
      <c r="CG128" s="817"/>
      <c r="CH128" s="817"/>
      <c r="CI128" s="817"/>
      <c r="CJ128" s="817"/>
      <c r="CK128" s="817"/>
      <c r="CL128" s="817"/>
      <c r="CM128" s="817"/>
      <c r="CN128" s="817"/>
      <c r="CO128" s="817"/>
      <c r="CP128" s="817"/>
      <c r="CQ128" s="817"/>
      <c r="CR128" s="817"/>
      <c r="CS128" s="817"/>
      <c r="CT128" s="817"/>
      <c r="CU128" s="817"/>
      <c r="CV128" s="817"/>
      <c r="CW128" s="817"/>
      <c r="CX128" s="817"/>
      <c r="CY128" s="817"/>
      <c r="CZ128" s="817"/>
      <c r="DA128" s="817"/>
      <c r="DB128" s="817"/>
      <c r="DC128" s="817"/>
      <c r="DD128" s="817"/>
      <c r="DE128" s="817"/>
      <c r="DF128" s="817"/>
      <c r="DG128" s="817"/>
      <c r="DH128" s="817"/>
      <c r="DI128" s="817"/>
      <c r="DJ128" s="817"/>
      <c r="DK128" s="817"/>
      <c r="DL128" s="817"/>
      <c r="DM128" s="817"/>
      <c r="DN128" s="817"/>
      <c r="DO128" s="817"/>
      <c r="DP128" s="817"/>
      <c r="DQ128" s="817"/>
      <c r="DR128" s="817"/>
      <c r="DS128" s="817"/>
      <c r="DT128" s="817"/>
      <c r="DU128" s="817"/>
      <c r="DV128" s="817"/>
      <c r="DW128" s="817"/>
      <c r="DX128" s="817"/>
      <c r="DY128" s="817"/>
      <c r="DZ128" s="817"/>
      <c r="EA128" s="817"/>
      <c r="EB128" s="817"/>
      <c r="EC128" s="817"/>
      <c r="ED128" s="817"/>
      <c r="EE128" s="817"/>
      <c r="EF128" s="817"/>
      <c r="EG128" s="817"/>
      <c r="EH128" s="817"/>
      <c r="EI128" s="817"/>
      <c r="EJ128" s="817"/>
    </row>
    <row r="129" spans="1:140" ht="46.5">
      <c r="A129" s="600" t="s">
        <v>901</v>
      </c>
      <c r="B129" s="600"/>
      <c r="C129" s="842" t="s">
        <v>789</v>
      </c>
      <c r="D129" s="600">
        <v>1</v>
      </c>
      <c r="E129" s="600" t="s">
        <v>16</v>
      </c>
      <c r="F129" s="645">
        <v>500</v>
      </c>
      <c r="G129" s="584">
        <f>Number_of_Classrooms</f>
        <v>42939</v>
      </c>
      <c r="H129" s="658"/>
      <c r="I129" s="586">
        <f t="shared" si="34"/>
        <v>83.33333333333333</v>
      </c>
      <c r="J129" s="587">
        <f>M129/BudgetYears</f>
        <v>3578250</v>
      </c>
      <c r="K129" s="606">
        <v>6</v>
      </c>
      <c r="L129" s="607">
        <v>0</v>
      </c>
      <c r="M129" s="590">
        <f>(F129*G129)*(BudgetYears/K129)</f>
        <v>21469500</v>
      </c>
      <c r="N129" s="590">
        <f>(M129)-(L129*3)</f>
        <v>21469500</v>
      </c>
      <c r="O129" s="591" t="s">
        <v>18</v>
      </c>
      <c r="P129" s="590">
        <f>IF($O129="S/L or L",$M129,0)</f>
        <v>21469500</v>
      </c>
      <c r="Q129" s="590">
        <f>IF($O129="L",$M129,0)</f>
        <v>0</v>
      </c>
      <c r="R129" s="590">
        <f>IF($O129="S",$M129,0)</f>
        <v>0</v>
      </c>
      <c r="S129" s="590">
        <f>IF($O129="F",$M129,0)</f>
        <v>0</v>
      </c>
      <c r="T129" s="590">
        <f>SUM(P129:S129)</f>
        <v>21469500</v>
      </c>
      <c r="U129" s="608" t="s">
        <v>25</v>
      </c>
      <c r="V129" s="590">
        <f>IF($O129="S/L or L",$J129,0)</f>
        <v>3578250</v>
      </c>
      <c r="W129" s="590">
        <f>IF($O129="L",$J129,0)</f>
        <v>0</v>
      </c>
      <c r="X129" s="590">
        <f>IF($O129="S",$J129,0)</f>
        <v>0</v>
      </c>
      <c r="Y129" s="590">
        <f>IF($O129="F",$J129,0)</f>
        <v>0</v>
      </c>
      <c r="Z129" s="593">
        <f>SUM(V129:Y129)</f>
        <v>3578250</v>
      </c>
      <c r="AA129" s="590">
        <f>IF($O129="S/L or L",$L129,0)</f>
        <v>0</v>
      </c>
      <c r="AB129" s="590">
        <f>IF($O129="L",$L129,0)</f>
        <v>0</v>
      </c>
      <c r="AC129" s="590">
        <f>IF($O129="S",$L129,0)</f>
        <v>0</v>
      </c>
      <c r="AD129" s="590">
        <f>IF($O129="F",$L129,0)</f>
        <v>0</v>
      </c>
      <c r="AE129" s="593">
        <f>SUM(AA129:AD129)</f>
        <v>0</v>
      </c>
      <c r="AF129" s="618"/>
      <c r="AG129" s="830"/>
      <c r="AH129" s="830"/>
      <c r="AI129" s="830"/>
      <c r="AJ129" s="830"/>
      <c r="AK129" s="830"/>
      <c r="AL129" s="831"/>
      <c r="AM129" s="832"/>
      <c r="AN129" s="833"/>
      <c r="AO129" s="833"/>
      <c r="AP129" s="831"/>
      <c r="AQ129" s="834"/>
      <c r="AR129" s="833"/>
      <c r="AS129" s="833"/>
      <c r="AT129" s="833"/>
      <c r="AU129" s="833"/>
      <c r="AV129" s="833"/>
      <c r="AW129" s="833"/>
      <c r="AX129" s="833"/>
      <c r="AY129" s="833"/>
      <c r="AZ129" s="833"/>
      <c r="BA129" s="833"/>
      <c r="BB129" s="833"/>
      <c r="BC129" s="833"/>
      <c r="BD129" s="833"/>
      <c r="BE129" s="833"/>
      <c r="BF129" s="833"/>
      <c r="BG129" s="833"/>
      <c r="BH129" s="833"/>
      <c r="BI129" s="833"/>
      <c r="BJ129" s="833"/>
      <c r="BK129" s="833"/>
      <c r="BL129" s="833"/>
      <c r="BM129" s="833"/>
      <c r="BN129" s="833"/>
      <c r="BO129" s="833"/>
      <c r="BP129" s="833"/>
      <c r="BQ129" s="833"/>
      <c r="BR129" s="833"/>
      <c r="BS129" s="833"/>
      <c r="BT129" s="833"/>
      <c r="BU129" s="833"/>
      <c r="BV129" s="833"/>
      <c r="BW129" s="833"/>
      <c r="BX129" s="833"/>
      <c r="BY129" s="833"/>
      <c r="BZ129" s="833"/>
      <c r="CA129" s="833"/>
      <c r="CB129" s="833"/>
      <c r="CC129" s="833"/>
      <c r="CD129" s="833"/>
      <c r="CE129" s="833"/>
      <c r="CF129" s="833"/>
      <c r="CG129" s="833"/>
      <c r="CH129" s="833"/>
      <c r="CI129" s="833"/>
      <c r="CJ129" s="833"/>
      <c r="CK129" s="833"/>
      <c r="CL129" s="833"/>
      <c r="CM129" s="833"/>
      <c r="CN129" s="833"/>
      <c r="CO129" s="833"/>
      <c r="CP129" s="833"/>
      <c r="CQ129" s="833"/>
      <c r="CR129" s="833"/>
      <c r="CS129" s="833"/>
      <c r="CT129" s="833"/>
      <c r="CU129" s="833"/>
      <c r="CV129" s="833"/>
      <c r="CW129" s="833"/>
      <c r="CX129" s="833"/>
      <c r="CY129" s="833"/>
      <c r="CZ129" s="833"/>
      <c r="DA129" s="833"/>
      <c r="DB129" s="833"/>
      <c r="DC129" s="833"/>
      <c r="DD129" s="833"/>
      <c r="DE129" s="833"/>
      <c r="DF129" s="833"/>
      <c r="DG129" s="833"/>
      <c r="DH129" s="833"/>
      <c r="DI129" s="833"/>
      <c r="DJ129" s="833"/>
      <c r="DK129" s="833"/>
      <c r="DL129" s="833"/>
      <c r="DM129" s="833"/>
      <c r="DN129" s="833"/>
      <c r="DO129" s="833"/>
      <c r="DP129" s="833"/>
      <c r="DQ129" s="833"/>
      <c r="DR129" s="833"/>
      <c r="DS129" s="833"/>
      <c r="DT129" s="833"/>
      <c r="DU129" s="833"/>
      <c r="DV129" s="833"/>
      <c r="DW129" s="833"/>
      <c r="DX129" s="833"/>
      <c r="DY129" s="833"/>
      <c r="DZ129" s="833"/>
      <c r="EA129" s="833"/>
      <c r="EB129" s="833"/>
      <c r="EC129" s="833"/>
      <c r="ED129" s="833"/>
      <c r="EE129" s="833"/>
      <c r="EF129" s="833"/>
      <c r="EG129" s="833"/>
      <c r="EH129" s="833"/>
      <c r="EI129" s="833"/>
      <c r="EJ129" s="833"/>
    </row>
    <row r="130" spans="1:140" ht="77.25">
      <c r="A130" s="600" t="s">
        <v>900</v>
      </c>
      <c r="B130" s="763" t="s">
        <v>788</v>
      </c>
      <c r="C130" s="842" t="s">
        <v>789</v>
      </c>
      <c r="D130" s="600">
        <v>1</v>
      </c>
      <c r="E130" s="600" t="s">
        <v>350</v>
      </c>
      <c r="F130" s="645">
        <v>500</v>
      </c>
      <c r="G130" s="584">
        <f>Number_of_Schools</f>
        <v>1247</v>
      </c>
      <c r="H130" s="658"/>
      <c r="I130" s="586">
        <f t="shared" si="34"/>
        <v>83.33333333333334</v>
      </c>
      <c r="J130" s="587">
        <f>M130/BudgetYears</f>
        <v>103916.66666666667</v>
      </c>
      <c r="K130" s="606">
        <v>6</v>
      </c>
      <c r="L130" s="607">
        <f>(USFInternal)*J130</f>
        <v>72741.66666666667</v>
      </c>
      <c r="M130" s="590">
        <f>(F130*G130)*(BudgetYears/K130)</f>
        <v>623500</v>
      </c>
      <c r="N130" s="590">
        <f>(M130)-(L130*3)</f>
        <v>405275</v>
      </c>
      <c r="O130" s="591" t="s">
        <v>18</v>
      </c>
      <c r="P130" s="590">
        <f>IF($O130="S/L or L",$M130,0)</f>
        <v>623500</v>
      </c>
      <c r="Q130" s="590">
        <f>IF($O130="L",$M130,0)</f>
        <v>0</v>
      </c>
      <c r="R130" s="590">
        <f>IF($O130="S",$M130,0)</f>
        <v>0</v>
      </c>
      <c r="S130" s="590">
        <f>IF($O130="F",$M130,0)</f>
        <v>0</v>
      </c>
      <c r="T130" s="590">
        <f>SUM(P130:S130)</f>
        <v>623500</v>
      </c>
      <c r="U130" s="608" t="s">
        <v>25</v>
      </c>
      <c r="V130" s="590">
        <f>IF($O130="S/L or L",$J130,0)</f>
        <v>103916.66666666667</v>
      </c>
      <c r="W130" s="590">
        <f>IF($O130="L",$J130,0)</f>
        <v>0</v>
      </c>
      <c r="X130" s="590">
        <f>IF($O130="S",$J130,0)</f>
        <v>0</v>
      </c>
      <c r="Y130" s="590">
        <f>IF($O130="F",$J130,0)</f>
        <v>0</v>
      </c>
      <c r="Z130" s="593">
        <f>SUM(V130:Y130)</f>
        <v>103916.66666666667</v>
      </c>
      <c r="AA130" s="590">
        <f>IF($O130="S/L or L",$L130,0)</f>
        <v>72741.66666666667</v>
      </c>
      <c r="AB130" s="590">
        <f>IF($O130="L",$L130,0)</f>
        <v>0</v>
      </c>
      <c r="AC130" s="590">
        <f>IF($O130="S",$L130,0)</f>
        <v>0</v>
      </c>
      <c r="AD130" s="590">
        <f>IF($O130="F",$L130,0)</f>
        <v>0</v>
      </c>
      <c r="AE130" s="593">
        <f>SUM(AA130:AD130)</f>
        <v>72741.66666666667</v>
      </c>
      <c r="AF130" s="543"/>
      <c r="AG130" s="837"/>
      <c r="AH130" s="837"/>
      <c r="AI130" s="837"/>
      <c r="AJ130" s="837"/>
      <c r="AK130" s="837"/>
      <c r="AL130" s="818"/>
      <c r="AM130" s="816"/>
      <c r="AN130" s="817"/>
      <c r="AO130" s="817"/>
      <c r="AP130" s="818"/>
      <c r="AQ130" s="838"/>
      <c r="AR130" s="817"/>
      <c r="AS130" s="817"/>
      <c r="AT130" s="817"/>
      <c r="AU130" s="817"/>
      <c r="AV130" s="817"/>
      <c r="AW130" s="817"/>
      <c r="AX130" s="817"/>
      <c r="AY130" s="817"/>
      <c r="AZ130" s="817"/>
      <c r="BA130" s="817"/>
      <c r="BB130" s="817"/>
      <c r="BC130" s="817"/>
      <c r="BD130" s="817"/>
      <c r="BE130" s="817"/>
      <c r="BF130" s="817"/>
      <c r="BG130" s="817"/>
      <c r="BH130" s="817"/>
      <c r="BI130" s="817"/>
      <c r="BJ130" s="817"/>
      <c r="BK130" s="817"/>
      <c r="BL130" s="817"/>
      <c r="BM130" s="817"/>
      <c r="BN130" s="817"/>
      <c r="BO130" s="817"/>
      <c r="BP130" s="817"/>
      <c r="BQ130" s="817"/>
      <c r="BR130" s="817"/>
      <c r="BS130" s="817"/>
      <c r="BT130" s="817"/>
      <c r="BU130" s="817"/>
      <c r="BV130" s="817"/>
      <c r="BW130" s="817"/>
      <c r="BX130" s="817"/>
      <c r="BY130" s="817"/>
      <c r="BZ130" s="817"/>
      <c r="CA130" s="817"/>
      <c r="CB130" s="817"/>
      <c r="CC130" s="817"/>
      <c r="CD130" s="817"/>
      <c r="CE130" s="817"/>
      <c r="CF130" s="817"/>
      <c r="CG130" s="817"/>
      <c r="CH130" s="817"/>
      <c r="CI130" s="817"/>
      <c r="CJ130" s="817"/>
      <c r="CK130" s="817"/>
      <c r="CL130" s="817"/>
      <c r="CM130" s="817"/>
      <c r="CN130" s="817"/>
      <c r="CO130" s="817"/>
      <c r="CP130" s="817"/>
      <c r="CQ130" s="817"/>
      <c r="CR130" s="817"/>
      <c r="CS130" s="817"/>
      <c r="CT130" s="817"/>
      <c r="CU130" s="817"/>
      <c r="CV130" s="817"/>
      <c r="CW130" s="817"/>
      <c r="CX130" s="817"/>
      <c r="CY130" s="817"/>
      <c r="CZ130" s="817"/>
      <c r="DA130" s="817"/>
      <c r="DB130" s="817"/>
      <c r="DC130" s="817"/>
      <c r="DD130" s="817"/>
      <c r="DE130" s="817"/>
      <c r="DF130" s="817"/>
      <c r="DG130" s="817"/>
      <c r="DH130" s="817"/>
      <c r="DI130" s="817"/>
      <c r="DJ130" s="817"/>
      <c r="DK130" s="817"/>
      <c r="DL130" s="817"/>
      <c r="DM130" s="817"/>
      <c r="DN130" s="817"/>
      <c r="DO130" s="817"/>
      <c r="DP130" s="817"/>
      <c r="DQ130" s="817"/>
      <c r="DR130" s="817"/>
      <c r="DS130" s="817"/>
      <c r="DT130" s="817"/>
      <c r="DU130" s="817"/>
      <c r="DV130" s="817"/>
      <c r="DW130" s="817"/>
      <c r="DX130" s="817"/>
      <c r="DY130" s="817"/>
      <c r="DZ130" s="817"/>
      <c r="EA130" s="817"/>
      <c r="EB130" s="817"/>
      <c r="EC130" s="817"/>
      <c r="ED130" s="817"/>
      <c r="EE130" s="817"/>
      <c r="EF130" s="817"/>
      <c r="EG130" s="817"/>
      <c r="EH130" s="817"/>
      <c r="EI130" s="817"/>
      <c r="EJ130" s="817"/>
    </row>
    <row r="131" spans="1:140" s="662" customFormat="1" ht="61.5">
      <c r="A131" s="600" t="s">
        <v>903</v>
      </c>
      <c r="B131" s="763" t="s">
        <v>800</v>
      </c>
      <c r="C131" s="842" t="s">
        <v>963</v>
      </c>
      <c r="D131" s="600">
        <v>1</v>
      </c>
      <c r="E131" s="600" t="s">
        <v>964</v>
      </c>
      <c r="F131" s="645">
        <v>53</v>
      </c>
      <c r="G131" s="584">
        <f>Number_of_Students/Student_Workstation_Ratio</f>
        <v>197725.68766666666</v>
      </c>
      <c r="H131" s="658"/>
      <c r="I131" s="586">
        <f t="shared" si="34"/>
        <v>53</v>
      </c>
      <c r="J131" s="587">
        <f>M131/BudgetYears</f>
        <v>10479461.446333334</v>
      </c>
      <c r="K131" s="606">
        <v>1</v>
      </c>
      <c r="L131" s="607">
        <v>0</v>
      </c>
      <c r="M131" s="590">
        <f>(F131*G131)*(BudgetYears/K131)</f>
        <v>62876768.678</v>
      </c>
      <c r="N131" s="590">
        <f>(M131)-(L131*3)</f>
        <v>62876768.678</v>
      </c>
      <c r="O131" s="591" t="s">
        <v>18</v>
      </c>
      <c r="P131" s="590">
        <f>IF($O131="S/L or L",$M131,0)</f>
        <v>62876768.678</v>
      </c>
      <c r="Q131" s="590">
        <f>IF($O131="L",$M131,0)</f>
        <v>0</v>
      </c>
      <c r="R131" s="590">
        <f>IF($O131="S",$M131,0)</f>
        <v>0</v>
      </c>
      <c r="S131" s="590">
        <f>IF($O131="F",$M131,0)</f>
        <v>0</v>
      </c>
      <c r="T131" s="590">
        <f>SUM(P131:S131)</f>
        <v>62876768.678</v>
      </c>
      <c r="U131" s="592" t="s">
        <v>25</v>
      </c>
      <c r="V131" s="590">
        <f>IF($O131="S/L or L",$J131,0)</f>
        <v>10479461.446333334</v>
      </c>
      <c r="W131" s="590">
        <f>IF($O131="L",$J131,0)</f>
        <v>0</v>
      </c>
      <c r="X131" s="590">
        <f>IF($O131="S",$J131,0)</f>
        <v>0</v>
      </c>
      <c r="Y131" s="590">
        <f>IF($O131="F",$J131,0)</f>
        <v>0</v>
      </c>
      <c r="Z131" s="593">
        <f>SUM(V131:Y131)</f>
        <v>10479461.446333334</v>
      </c>
      <c r="AA131" s="590">
        <f>IF($O131="S/L or L",$L131,0)</f>
        <v>0</v>
      </c>
      <c r="AB131" s="590">
        <f>IF($O131="L",$L131,0)</f>
        <v>0</v>
      </c>
      <c r="AC131" s="590">
        <f>IF($O131="S",$L131,0)</f>
        <v>0</v>
      </c>
      <c r="AD131" s="590">
        <f>IF($O131="F",$L131,0)</f>
        <v>0</v>
      </c>
      <c r="AE131" s="593">
        <f>SUM(AA131:AD131)</f>
        <v>0</v>
      </c>
      <c r="AF131" s="594"/>
      <c r="AG131" s="578"/>
      <c r="AH131" s="578"/>
      <c r="AI131" s="578"/>
      <c r="AJ131" s="578"/>
      <c r="AK131" s="578"/>
      <c r="AL131" s="579"/>
      <c r="AM131" s="580"/>
      <c r="AN131" s="581"/>
      <c r="AO131" s="581"/>
      <c r="AP131" s="579"/>
      <c r="AQ131" s="582"/>
      <c r="AR131" s="581"/>
      <c r="AS131" s="581"/>
      <c r="AT131" s="581"/>
      <c r="AU131" s="581"/>
      <c r="AV131" s="581"/>
      <c r="AW131" s="581"/>
      <c r="AX131" s="581"/>
      <c r="AY131" s="581"/>
      <c r="AZ131" s="581"/>
      <c r="BA131" s="581"/>
      <c r="BB131" s="581"/>
      <c r="BC131" s="581"/>
      <c r="BD131" s="581"/>
      <c r="BE131" s="581"/>
      <c r="BF131" s="581"/>
      <c r="BG131" s="581"/>
      <c r="BH131" s="581"/>
      <c r="BI131" s="581"/>
      <c r="BJ131" s="581"/>
      <c r="BK131" s="581"/>
      <c r="BL131" s="581"/>
      <c r="BM131" s="581"/>
      <c r="BN131" s="581"/>
      <c r="BO131" s="581"/>
      <c r="BP131" s="581"/>
      <c r="BQ131" s="581"/>
      <c r="BR131" s="581"/>
      <c r="BS131" s="581"/>
      <c r="BT131" s="581"/>
      <c r="BU131" s="581"/>
      <c r="BV131" s="581"/>
      <c r="BW131" s="581"/>
      <c r="BX131" s="581"/>
      <c r="BY131" s="581"/>
      <c r="BZ131" s="581"/>
      <c r="CA131" s="581"/>
      <c r="CB131" s="581"/>
      <c r="CC131" s="581"/>
      <c r="CD131" s="581"/>
      <c r="CE131" s="581"/>
      <c r="CF131" s="581"/>
      <c r="CG131" s="581"/>
      <c r="CH131" s="581"/>
      <c r="CI131" s="581"/>
      <c r="CJ131" s="581"/>
      <c r="CK131" s="581"/>
      <c r="CL131" s="581"/>
      <c r="CM131" s="581"/>
      <c r="CN131" s="581"/>
      <c r="CO131" s="581"/>
      <c r="CP131" s="581"/>
      <c r="CQ131" s="581"/>
      <c r="CR131" s="581"/>
      <c r="CS131" s="581"/>
      <c r="CT131" s="581"/>
      <c r="CU131" s="581"/>
      <c r="CV131" s="581"/>
      <c r="CW131" s="581"/>
      <c r="CX131" s="581"/>
      <c r="CY131" s="581"/>
      <c r="CZ131" s="581"/>
      <c r="DA131" s="581"/>
      <c r="DB131" s="581"/>
      <c r="DC131" s="581"/>
      <c r="DD131" s="581"/>
      <c r="DE131" s="581"/>
      <c r="DF131" s="581"/>
      <c r="DG131" s="581"/>
      <c r="DH131" s="581"/>
      <c r="DI131" s="581"/>
      <c r="DJ131" s="581"/>
      <c r="DK131" s="581"/>
      <c r="DL131" s="581"/>
      <c r="DM131" s="581"/>
      <c r="DN131" s="581"/>
      <c r="DO131" s="581"/>
      <c r="DP131" s="581"/>
      <c r="DQ131" s="581"/>
      <c r="DR131" s="581"/>
      <c r="DS131" s="581"/>
      <c r="DT131" s="581"/>
      <c r="DU131" s="581"/>
      <c r="DV131" s="581"/>
      <c r="DW131" s="581"/>
      <c r="DX131" s="581"/>
      <c r="DY131" s="581"/>
      <c r="DZ131" s="581"/>
      <c r="EA131" s="581"/>
      <c r="EB131" s="581"/>
      <c r="EC131" s="581"/>
      <c r="ED131" s="581"/>
      <c r="EE131" s="581"/>
      <c r="EF131" s="581"/>
      <c r="EG131" s="581"/>
      <c r="EH131" s="581"/>
      <c r="EI131" s="581"/>
      <c r="EJ131" s="581"/>
    </row>
    <row r="132" spans="1:140" s="662" customFormat="1" ht="93">
      <c r="A132" s="600" t="s">
        <v>902</v>
      </c>
      <c r="B132" s="763" t="s">
        <v>801</v>
      </c>
      <c r="C132" s="842" t="s">
        <v>802</v>
      </c>
      <c r="D132" s="600">
        <v>1</v>
      </c>
      <c r="E132" s="600" t="s">
        <v>806</v>
      </c>
      <c r="F132" s="682">
        <v>116</v>
      </c>
      <c r="G132" s="584">
        <f>Number_of_Districts</f>
        <v>174</v>
      </c>
      <c r="H132" s="658"/>
      <c r="I132" s="586">
        <f t="shared" si="34"/>
        <v>116</v>
      </c>
      <c r="J132" s="587">
        <f>SUM(F132*G132)/K132</f>
        <v>20184</v>
      </c>
      <c r="K132" s="606">
        <v>1</v>
      </c>
      <c r="L132" s="607"/>
      <c r="M132" s="590"/>
      <c r="N132" s="590"/>
      <c r="O132" s="591"/>
      <c r="P132" s="590"/>
      <c r="Q132" s="590"/>
      <c r="R132" s="590"/>
      <c r="S132" s="590"/>
      <c r="T132" s="590"/>
      <c r="U132" s="592"/>
      <c r="V132" s="590"/>
      <c r="W132" s="590"/>
      <c r="X132" s="590"/>
      <c r="Y132" s="590"/>
      <c r="Z132" s="593"/>
      <c r="AA132" s="590"/>
      <c r="AB132" s="590"/>
      <c r="AC132" s="590"/>
      <c r="AD132" s="590"/>
      <c r="AE132" s="593"/>
      <c r="AF132" s="594"/>
      <c r="AG132" s="578"/>
      <c r="AH132" s="578"/>
      <c r="AI132" s="578"/>
      <c r="AJ132" s="578"/>
      <c r="AK132" s="578"/>
      <c r="AL132" s="579"/>
      <c r="AM132" s="580"/>
      <c r="AN132" s="581"/>
      <c r="AO132" s="581"/>
      <c r="AP132" s="579"/>
      <c r="AQ132" s="582"/>
      <c r="AR132" s="581"/>
      <c r="AS132" s="581"/>
      <c r="AT132" s="581"/>
      <c r="AU132" s="581"/>
      <c r="AV132" s="581"/>
      <c r="AW132" s="581"/>
      <c r="AX132" s="581"/>
      <c r="AY132" s="581"/>
      <c r="AZ132" s="581"/>
      <c r="BA132" s="581"/>
      <c r="BB132" s="581"/>
      <c r="BC132" s="581"/>
      <c r="BD132" s="581"/>
      <c r="BE132" s="581"/>
      <c r="BF132" s="581"/>
      <c r="BG132" s="581"/>
      <c r="BH132" s="581"/>
      <c r="BI132" s="581"/>
      <c r="BJ132" s="581"/>
      <c r="BK132" s="581"/>
      <c r="BL132" s="581"/>
      <c r="BM132" s="581"/>
      <c r="BN132" s="581"/>
      <c r="BO132" s="581"/>
      <c r="BP132" s="581"/>
      <c r="BQ132" s="581"/>
      <c r="BR132" s="581"/>
      <c r="BS132" s="581"/>
      <c r="BT132" s="581"/>
      <c r="BU132" s="581"/>
      <c r="BV132" s="581"/>
      <c r="BW132" s="581"/>
      <c r="BX132" s="581"/>
      <c r="BY132" s="581"/>
      <c r="BZ132" s="581"/>
      <c r="CA132" s="581"/>
      <c r="CB132" s="581"/>
      <c r="CC132" s="581"/>
      <c r="CD132" s="581"/>
      <c r="CE132" s="581"/>
      <c r="CF132" s="581"/>
      <c r="CG132" s="581"/>
      <c r="CH132" s="581"/>
      <c r="CI132" s="581"/>
      <c r="CJ132" s="581"/>
      <c r="CK132" s="581"/>
      <c r="CL132" s="581"/>
      <c r="CM132" s="581"/>
      <c r="CN132" s="581"/>
      <c r="CO132" s="581"/>
      <c r="CP132" s="581"/>
      <c r="CQ132" s="581"/>
      <c r="CR132" s="581"/>
      <c r="CS132" s="581"/>
      <c r="CT132" s="581"/>
      <c r="CU132" s="581"/>
      <c r="CV132" s="581"/>
      <c r="CW132" s="581"/>
      <c r="CX132" s="581"/>
      <c r="CY132" s="581"/>
      <c r="CZ132" s="581"/>
      <c r="DA132" s="581"/>
      <c r="DB132" s="581"/>
      <c r="DC132" s="581"/>
      <c r="DD132" s="581"/>
      <c r="DE132" s="581"/>
      <c r="DF132" s="581"/>
      <c r="DG132" s="581"/>
      <c r="DH132" s="581"/>
      <c r="DI132" s="581"/>
      <c r="DJ132" s="581"/>
      <c r="DK132" s="581"/>
      <c r="DL132" s="581"/>
      <c r="DM132" s="581"/>
      <c r="DN132" s="581"/>
      <c r="DO132" s="581"/>
      <c r="DP132" s="581"/>
      <c r="DQ132" s="581"/>
      <c r="DR132" s="581"/>
      <c r="DS132" s="581"/>
      <c r="DT132" s="581"/>
      <c r="DU132" s="581"/>
      <c r="DV132" s="581"/>
      <c r="DW132" s="581"/>
      <c r="DX132" s="581"/>
      <c r="DY132" s="581"/>
      <c r="DZ132" s="581"/>
      <c r="EA132" s="581"/>
      <c r="EB132" s="581"/>
      <c r="EC132" s="581"/>
      <c r="ED132" s="581"/>
      <c r="EE132" s="581"/>
      <c r="EF132" s="581"/>
      <c r="EG132" s="581"/>
      <c r="EH132" s="581"/>
      <c r="EI132" s="581"/>
      <c r="EJ132" s="581"/>
    </row>
    <row r="133" spans="1:140" s="662" customFormat="1" ht="46.5">
      <c r="A133" s="1213" t="s">
        <v>1267</v>
      </c>
      <c r="B133" s="763" t="s">
        <v>1268</v>
      </c>
      <c r="C133" s="842" t="s">
        <v>1269</v>
      </c>
      <c r="D133" s="600">
        <v>1</v>
      </c>
      <c r="E133" s="600" t="s">
        <v>728</v>
      </c>
      <c r="F133" s="682">
        <v>2035760</v>
      </c>
      <c r="G133" s="584">
        <f>Number_of_Districts</f>
        <v>174</v>
      </c>
      <c r="H133" s="658"/>
      <c r="I133" s="586">
        <f t="shared" si="34"/>
        <v>11699.770114942528</v>
      </c>
      <c r="J133" s="587">
        <f>F133</f>
        <v>2035760</v>
      </c>
      <c r="K133" s="606"/>
      <c r="L133" s="607"/>
      <c r="M133" s="590"/>
      <c r="N133" s="590"/>
      <c r="O133" s="591"/>
      <c r="P133" s="590"/>
      <c r="Q133" s="590"/>
      <c r="R133" s="590"/>
      <c r="S133" s="590"/>
      <c r="T133" s="590"/>
      <c r="U133" s="592"/>
      <c r="V133" s="590"/>
      <c r="W133" s="590"/>
      <c r="X133" s="590"/>
      <c r="Y133" s="590"/>
      <c r="Z133" s="593"/>
      <c r="AA133" s="590"/>
      <c r="AB133" s="590"/>
      <c r="AC133" s="590"/>
      <c r="AD133" s="590"/>
      <c r="AE133" s="593"/>
      <c r="AF133" s="594"/>
      <c r="AG133" s="578"/>
      <c r="AH133" s="578"/>
      <c r="AI133" s="578"/>
      <c r="AJ133" s="578"/>
      <c r="AK133" s="578"/>
      <c r="AL133" s="579"/>
      <c r="AM133" s="580"/>
      <c r="AN133" s="581"/>
      <c r="AO133" s="581"/>
      <c r="AP133" s="579"/>
      <c r="AQ133" s="582"/>
      <c r="AR133" s="581"/>
      <c r="AS133" s="581"/>
      <c r="AT133" s="581"/>
      <c r="AU133" s="581"/>
      <c r="AV133" s="581"/>
      <c r="AW133" s="581"/>
      <c r="AX133" s="581"/>
      <c r="AY133" s="581"/>
      <c r="AZ133" s="581"/>
      <c r="BA133" s="581"/>
      <c r="BB133" s="581"/>
      <c r="BC133" s="581"/>
      <c r="BD133" s="581"/>
      <c r="BE133" s="581"/>
      <c r="BF133" s="581"/>
      <c r="BG133" s="581"/>
      <c r="BH133" s="581"/>
      <c r="BI133" s="581"/>
      <c r="BJ133" s="581"/>
      <c r="BK133" s="581"/>
      <c r="BL133" s="581"/>
      <c r="BM133" s="581"/>
      <c r="BN133" s="581"/>
      <c r="BO133" s="581"/>
      <c r="BP133" s="581"/>
      <c r="BQ133" s="581"/>
      <c r="BR133" s="581"/>
      <c r="BS133" s="581"/>
      <c r="BT133" s="581"/>
      <c r="BU133" s="581"/>
      <c r="BV133" s="581"/>
      <c r="BW133" s="581"/>
      <c r="BX133" s="581"/>
      <c r="BY133" s="581"/>
      <c r="BZ133" s="581"/>
      <c r="CA133" s="581"/>
      <c r="CB133" s="581"/>
      <c r="CC133" s="581"/>
      <c r="CD133" s="581"/>
      <c r="CE133" s="581"/>
      <c r="CF133" s="581"/>
      <c r="CG133" s="581"/>
      <c r="CH133" s="581"/>
      <c r="CI133" s="581"/>
      <c r="CJ133" s="581"/>
      <c r="CK133" s="581"/>
      <c r="CL133" s="581"/>
      <c r="CM133" s="581"/>
      <c r="CN133" s="581"/>
      <c r="CO133" s="581"/>
      <c r="CP133" s="581"/>
      <c r="CQ133" s="581"/>
      <c r="CR133" s="581"/>
      <c r="CS133" s="581"/>
      <c r="CT133" s="581"/>
      <c r="CU133" s="581"/>
      <c r="CV133" s="581"/>
      <c r="CW133" s="581"/>
      <c r="CX133" s="581"/>
      <c r="CY133" s="581"/>
      <c r="CZ133" s="581"/>
      <c r="DA133" s="581"/>
      <c r="DB133" s="581"/>
      <c r="DC133" s="581"/>
      <c r="DD133" s="581"/>
      <c r="DE133" s="581"/>
      <c r="DF133" s="581"/>
      <c r="DG133" s="581"/>
      <c r="DH133" s="581"/>
      <c r="DI133" s="581"/>
      <c r="DJ133" s="581"/>
      <c r="DK133" s="581"/>
      <c r="DL133" s="581"/>
      <c r="DM133" s="581"/>
      <c r="DN133" s="581"/>
      <c r="DO133" s="581"/>
      <c r="DP133" s="581"/>
      <c r="DQ133" s="581"/>
      <c r="DR133" s="581"/>
      <c r="DS133" s="581"/>
      <c r="DT133" s="581"/>
      <c r="DU133" s="581"/>
      <c r="DV133" s="581"/>
      <c r="DW133" s="581"/>
      <c r="DX133" s="581"/>
      <c r="DY133" s="581"/>
      <c r="DZ133" s="581"/>
      <c r="EA133" s="581"/>
      <c r="EB133" s="581"/>
      <c r="EC133" s="581"/>
      <c r="ED133" s="581"/>
      <c r="EE133" s="581"/>
      <c r="EF133" s="581"/>
      <c r="EG133" s="581"/>
      <c r="EH133" s="581"/>
      <c r="EI133" s="581"/>
      <c r="EJ133" s="581"/>
    </row>
    <row r="134" spans="1:140" s="689" customFormat="1" ht="15">
      <c r="A134" s="600"/>
      <c r="B134" s="600"/>
      <c r="C134" s="600"/>
      <c r="D134" s="600"/>
      <c r="E134" s="600"/>
      <c r="F134" s="682"/>
      <c r="G134" s="584"/>
      <c r="H134" s="659"/>
      <c r="I134" s="586"/>
      <c r="J134" s="587"/>
      <c r="K134" s="606"/>
      <c r="L134" s="607"/>
      <c r="M134" s="590"/>
      <c r="N134" s="590"/>
      <c r="O134" s="591"/>
      <c r="P134" s="590"/>
      <c r="Q134" s="590"/>
      <c r="R134" s="590"/>
      <c r="S134" s="590"/>
      <c r="T134" s="590"/>
      <c r="U134" s="592"/>
      <c r="V134" s="590"/>
      <c r="W134" s="590"/>
      <c r="X134" s="590"/>
      <c r="Y134" s="590"/>
      <c r="Z134" s="593"/>
      <c r="AA134" s="590"/>
      <c r="AB134" s="590"/>
      <c r="AC134" s="590"/>
      <c r="AD134" s="590"/>
      <c r="AE134" s="593"/>
      <c r="AF134" s="599"/>
      <c r="AG134" s="758"/>
      <c r="AH134" s="760"/>
      <c r="AI134" s="759"/>
      <c r="AJ134" s="758"/>
      <c r="AK134" s="758"/>
      <c r="AL134" s="734"/>
      <c r="AM134" s="800"/>
      <c r="AN134" s="569"/>
      <c r="AO134" s="569"/>
      <c r="AP134" s="734"/>
      <c r="AQ134" s="575"/>
      <c r="AR134" s="569"/>
      <c r="AS134" s="569"/>
      <c r="AT134" s="569"/>
      <c r="AU134" s="569"/>
      <c r="AV134" s="569"/>
      <c r="AW134" s="569"/>
      <c r="AX134" s="569"/>
      <c r="AY134" s="569"/>
      <c r="AZ134" s="569"/>
      <c r="BA134" s="569"/>
      <c r="BB134" s="569"/>
      <c r="BC134" s="569"/>
      <c r="BD134" s="569"/>
      <c r="BE134" s="569"/>
      <c r="BF134" s="569"/>
      <c r="BG134" s="569"/>
      <c r="BH134" s="569"/>
      <c r="BI134" s="569"/>
      <c r="BJ134" s="569"/>
      <c r="BK134" s="569"/>
      <c r="BL134" s="569"/>
      <c r="BM134" s="569"/>
      <c r="BN134" s="569"/>
      <c r="BO134" s="569"/>
      <c r="BP134" s="569"/>
      <c r="BQ134" s="569"/>
      <c r="BR134" s="569"/>
      <c r="BS134" s="569"/>
      <c r="BT134" s="569"/>
      <c r="BU134" s="569"/>
      <c r="BV134" s="569"/>
      <c r="BW134" s="569"/>
      <c r="BX134" s="569"/>
      <c r="BY134" s="569"/>
      <c r="BZ134" s="569"/>
      <c r="CA134" s="569"/>
      <c r="CB134" s="569"/>
      <c r="CC134" s="569"/>
      <c r="CD134" s="569"/>
      <c r="CE134" s="569"/>
      <c r="CF134" s="569"/>
      <c r="CG134" s="569"/>
      <c r="CH134" s="569"/>
      <c r="CI134" s="569"/>
      <c r="CJ134" s="569"/>
      <c r="CK134" s="569"/>
      <c r="CL134" s="569"/>
      <c r="CM134" s="569"/>
      <c r="CN134" s="569"/>
      <c r="CO134" s="569"/>
      <c r="CP134" s="569"/>
      <c r="CQ134" s="569"/>
      <c r="CR134" s="569"/>
      <c r="CS134" s="569"/>
      <c r="CT134" s="569"/>
      <c r="CU134" s="569"/>
      <c r="CV134" s="569"/>
      <c r="CW134" s="569"/>
      <c r="CX134" s="569"/>
      <c r="CY134" s="569"/>
      <c r="CZ134" s="569"/>
      <c r="DA134" s="569"/>
      <c r="DB134" s="569"/>
      <c r="DC134" s="569"/>
      <c r="DD134" s="569"/>
      <c r="DE134" s="569"/>
      <c r="DF134" s="569"/>
      <c r="DG134" s="569"/>
      <c r="DH134" s="569"/>
      <c r="DI134" s="569"/>
      <c r="DJ134" s="569"/>
      <c r="DK134" s="569"/>
      <c r="DL134" s="569"/>
      <c r="DM134" s="569"/>
      <c r="DN134" s="569"/>
      <c r="DO134" s="569"/>
      <c r="DP134" s="569"/>
      <c r="DQ134" s="569"/>
      <c r="DR134" s="569"/>
      <c r="DS134" s="569"/>
      <c r="DT134" s="569"/>
      <c r="DU134" s="569"/>
      <c r="DV134" s="569"/>
      <c r="DW134" s="569"/>
      <c r="DX134" s="569"/>
      <c r="DY134" s="569"/>
      <c r="DZ134" s="569"/>
      <c r="EA134" s="569"/>
      <c r="EB134" s="569"/>
      <c r="EC134" s="569"/>
      <c r="ED134" s="569"/>
      <c r="EE134" s="569"/>
      <c r="EF134" s="569"/>
      <c r="EG134" s="569"/>
      <c r="EH134" s="569"/>
      <c r="EI134" s="569"/>
      <c r="EJ134" s="569"/>
    </row>
    <row r="135" spans="1:140" s="662" customFormat="1" ht="15">
      <c r="A135" s="631" t="s">
        <v>101</v>
      </c>
      <c r="B135" s="631"/>
      <c r="C135" s="631"/>
      <c r="D135" s="624"/>
      <c r="E135" s="631"/>
      <c r="F135" s="583"/>
      <c r="G135" s="681"/>
      <c r="H135" s="585"/>
      <c r="I135" s="615">
        <f>SUM(I124:I133)</f>
        <v>4112389.9401149447</v>
      </c>
      <c r="J135" s="615">
        <f>SUM(J124:J133)</f>
        <v>30882266.396</v>
      </c>
      <c r="K135" s="588"/>
      <c r="L135" s="615">
        <f>SUM(L124:L131)</f>
        <v>132207.13333333333</v>
      </c>
      <c r="M135" s="615">
        <f>SUM(M124:M131)</f>
        <v>172957934.37600002</v>
      </c>
      <c r="N135" s="615">
        <f>SUM(N124:N131)</f>
        <v>172561312.976</v>
      </c>
      <c r="O135" s="591"/>
      <c r="P135" s="615">
        <f aca="true" t="shared" si="35" ref="P135:AE135">SUM(P124:P131)</f>
        <v>172957934.37600002</v>
      </c>
      <c r="Q135" s="615">
        <f t="shared" si="35"/>
        <v>0</v>
      </c>
      <c r="R135" s="615">
        <f t="shared" si="35"/>
        <v>0</v>
      </c>
      <c r="S135" s="615">
        <f t="shared" si="35"/>
        <v>0</v>
      </c>
      <c r="T135" s="615">
        <f t="shared" si="35"/>
        <v>172957934.37600002</v>
      </c>
      <c r="U135" s="615">
        <f t="shared" si="35"/>
        <v>0</v>
      </c>
      <c r="V135" s="615">
        <f t="shared" si="35"/>
        <v>28826322.396</v>
      </c>
      <c r="W135" s="615">
        <f t="shared" si="35"/>
        <v>0</v>
      </c>
      <c r="X135" s="615">
        <f t="shared" si="35"/>
        <v>0</v>
      </c>
      <c r="Y135" s="615">
        <f t="shared" si="35"/>
        <v>0</v>
      </c>
      <c r="Z135" s="615">
        <f t="shared" si="35"/>
        <v>28826322.396</v>
      </c>
      <c r="AA135" s="615">
        <f t="shared" si="35"/>
        <v>132207.13333333333</v>
      </c>
      <c r="AB135" s="615">
        <f t="shared" si="35"/>
        <v>0</v>
      </c>
      <c r="AC135" s="615">
        <f t="shared" si="35"/>
        <v>0</v>
      </c>
      <c r="AD135" s="615">
        <f t="shared" si="35"/>
        <v>0</v>
      </c>
      <c r="AE135" s="615">
        <f t="shared" si="35"/>
        <v>132207.13333333333</v>
      </c>
      <c r="AF135" s="594"/>
      <c r="AG135" s="578"/>
      <c r="AH135" s="578"/>
      <c r="AI135" s="578"/>
      <c r="AJ135" s="578"/>
      <c r="AK135" s="578"/>
      <c r="AL135" s="579"/>
      <c r="AM135" s="580"/>
      <c r="AN135" s="581"/>
      <c r="AO135" s="581"/>
      <c r="AP135" s="579"/>
      <c r="AQ135" s="582"/>
      <c r="AR135" s="581"/>
      <c r="AS135" s="581"/>
      <c r="AT135" s="581"/>
      <c r="AU135" s="581"/>
      <c r="AV135" s="581"/>
      <c r="AW135" s="581"/>
      <c r="AX135" s="581"/>
      <c r="AY135" s="581"/>
      <c r="AZ135" s="581"/>
      <c r="BA135" s="581"/>
      <c r="BB135" s="581"/>
      <c r="BC135" s="581"/>
      <c r="BD135" s="581"/>
      <c r="BE135" s="581"/>
      <c r="BF135" s="581"/>
      <c r="BG135" s="581"/>
      <c r="BH135" s="581"/>
      <c r="BI135" s="581"/>
      <c r="BJ135" s="581"/>
      <c r="BK135" s="581"/>
      <c r="BL135" s="581"/>
      <c r="BM135" s="581"/>
      <c r="BN135" s="581"/>
      <c r="BO135" s="581"/>
      <c r="BP135" s="581"/>
      <c r="BQ135" s="581"/>
      <c r="BR135" s="581"/>
      <c r="BS135" s="581"/>
      <c r="BT135" s="581"/>
      <c r="BU135" s="581"/>
      <c r="BV135" s="581"/>
      <c r="BW135" s="581"/>
      <c r="BX135" s="581"/>
      <c r="BY135" s="581"/>
      <c r="BZ135" s="581"/>
      <c r="CA135" s="581"/>
      <c r="CB135" s="581"/>
      <c r="CC135" s="581"/>
      <c r="CD135" s="581"/>
      <c r="CE135" s="581"/>
      <c r="CF135" s="581"/>
      <c r="CG135" s="581"/>
      <c r="CH135" s="581"/>
      <c r="CI135" s="581"/>
      <c r="CJ135" s="581"/>
      <c r="CK135" s="581"/>
      <c r="CL135" s="581"/>
      <c r="CM135" s="581"/>
      <c r="CN135" s="581"/>
      <c r="CO135" s="581"/>
      <c r="CP135" s="581"/>
      <c r="CQ135" s="581"/>
      <c r="CR135" s="581"/>
      <c r="CS135" s="581"/>
      <c r="CT135" s="581"/>
      <c r="CU135" s="581"/>
      <c r="CV135" s="581"/>
      <c r="CW135" s="581"/>
      <c r="CX135" s="581"/>
      <c r="CY135" s="581"/>
      <c r="CZ135" s="581"/>
      <c r="DA135" s="581"/>
      <c r="DB135" s="581"/>
      <c r="DC135" s="581"/>
      <c r="DD135" s="581"/>
      <c r="DE135" s="581"/>
      <c r="DF135" s="581"/>
      <c r="DG135" s="581"/>
      <c r="DH135" s="581"/>
      <c r="DI135" s="581"/>
      <c r="DJ135" s="581"/>
      <c r="DK135" s="581"/>
      <c r="DL135" s="581"/>
      <c r="DM135" s="581"/>
      <c r="DN135" s="581"/>
      <c r="DO135" s="581"/>
      <c r="DP135" s="581"/>
      <c r="DQ135" s="581"/>
      <c r="DR135" s="581"/>
      <c r="DS135" s="581"/>
      <c r="DT135" s="581"/>
      <c r="DU135" s="581"/>
      <c r="DV135" s="581"/>
      <c r="DW135" s="581"/>
      <c r="DX135" s="581"/>
      <c r="DY135" s="581"/>
      <c r="DZ135" s="581"/>
      <c r="EA135" s="581"/>
      <c r="EB135" s="581"/>
      <c r="EC135" s="581"/>
      <c r="ED135" s="581"/>
      <c r="EE135" s="581"/>
      <c r="EF135" s="581"/>
      <c r="EG135" s="581"/>
      <c r="EH135" s="581"/>
      <c r="EI135" s="581"/>
      <c r="EJ135" s="581"/>
    </row>
    <row r="136" spans="1:140" ht="15">
      <c r="A136" s="631"/>
      <c r="B136" s="631"/>
      <c r="C136" s="631"/>
      <c r="D136" s="624"/>
      <c r="E136" s="631"/>
      <c r="F136" s="583"/>
      <c r="G136" s="681"/>
      <c r="H136" s="585"/>
      <c r="I136" s="586"/>
      <c r="J136" s="615"/>
      <c r="K136" s="588"/>
      <c r="L136" s="615"/>
      <c r="M136" s="615"/>
      <c r="N136" s="615"/>
      <c r="O136" s="591"/>
      <c r="P136" s="615"/>
      <c r="Q136" s="615"/>
      <c r="R136" s="615"/>
      <c r="S136" s="615"/>
      <c r="T136" s="615"/>
      <c r="U136" s="615"/>
      <c r="V136" s="615"/>
      <c r="W136" s="615"/>
      <c r="X136" s="615"/>
      <c r="Y136" s="615"/>
      <c r="Z136" s="615"/>
      <c r="AA136" s="615"/>
      <c r="AB136" s="615"/>
      <c r="AC136" s="615"/>
      <c r="AD136" s="615"/>
      <c r="AE136" s="615"/>
      <c r="AG136" s="578"/>
      <c r="AH136" s="578"/>
      <c r="AI136" s="578"/>
      <c r="AJ136" s="578"/>
      <c r="AK136" s="578"/>
      <c r="AL136" s="579"/>
      <c r="AM136" s="580"/>
      <c r="AN136" s="581"/>
      <c r="AO136" s="581"/>
      <c r="AP136" s="579"/>
      <c r="AQ136" s="582"/>
      <c r="AR136" s="581"/>
      <c r="AS136" s="581"/>
      <c r="AT136" s="581"/>
      <c r="AU136" s="581"/>
      <c r="AV136" s="581"/>
      <c r="AW136" s="581"/>
      <c r="AX136" s="581"/>
      <c r="AY136" s="581"/>
      <c r="AZ136" s="581"/>
      <c r="BA136" s="581"/>
      <c r="BB136" s="581"/>
      <c r="BC136" s="581"/>
      <c r="BD136" s="581"/>
      <c r="BE136" s="581"/>
      <c r="BF136" s="581"/>
      <c r="BG136" s="581"/>
      <c r="BH136" s="581"/>
      <c r="BI136" s="581"/>
      <c r="BJ136" s="581"/>
      <c r="BK136" s="581"/>
      <c r="BL136" s="581"/>
      <c r="BM136" s="581"/>
      <c r="BN136" s="581"/>
      <c r="BO136" s="581"/>
      <c r="BP136" s="581"/>
      <c r="BQ136" s="581"/>
      <c r="BR136" s="581"/>
      <c r="BS136" s="581"/>
      <c r="BT136" s="581"/>
      <c r="BU136" s="581"/>
      <c r="BV136" s="581"/>
      <c r="BW136" s="581"/>
      <c r="BX136" s="581"/>
      <c r="BY136" s="581"/>
      <c r="BZ136" s="581"/>
      <c r="CA136" s="581"/>
      <c r="CB136" s="581"/>
      <c r="CC136" s="581"/>
      <c r="CD136" s="581"/>
      <c r="CE136" s="581"/>
      <c r="CF136" s="581"/>
      <c r="CG136" s="581"/>
      <c r="CH136" s="581"/>
      <c r="CI136" s="581"/>
      <c r="CJ136" s="581"/>
      <c r="CK136" s="581"/>
      <c r="CL136" s="581"/>
      <c r="CM136" s="581"/>
      <c r="CN136" s="581"/>
      <c r="CO136" s="581"/>
      <c r="CP136" s="581"/>
      <c r="CQ136" s="581"/>
      <c r="CR136" s="581"/>
      <c r="CS136" s="581"/>
      <c r="CT136" s="581"/>
      <c r="CU136" s="581"/>
      <c r="CV136" s="581"/>
      <c r="CW136" s="581"/>
      <c r="CX136" s="581"/>
      <c r="CY136" s="581"/>
      <c r="CZ136" s="581"/>
      <c r="DA136" s="581"/>
      <c r="DB136" s="581"/>
      <c r="DC136" s="581"/>
      <c r="DD136" s="581"/>
      <c r="DE136" s="581"/>
      <c r="DF136" s="581"/>
      <c r="DG136" s="581"/>
      <c r="DH136" s="581"/>
      <c r="DI136" s="581"/>
      <c r="DJ136" s="581"/>
      <c r="DK136" s="581"/>
      <c r="DL136" s="581"/>
      <c r="DM136" s="581"/>
      <c r="DN136" s="581"/>
      <c r="DO136" s="581"/>
      <c r="DP136" s="581"/>
      <c r="DQ136" s="581"/>
      <c r="DR136" s="581"/>
      <c r="DS136" s="581"/>
      <c r="DT136" s="581"/>
      <c r="DU136" s="581"/>
      <c r="DV136" s="581"/>
      <c r="DW136" s="581"/>
      <c r="DX136" s="581"/>
      <c r="DY136" s="581"/>
      <c r="DZ136" s="581"/>
      <c r="EA136" s="581"/>
      <c r="EB136" s="581"/>
      <c r="EC136" s="581"/>
      <c r="ED136" s="581"/>
      <c r="EE136" s="581"/>
      <c r="EF136" s="581"/>
      <c r="EG136" s="581"/>
      <c r="EH136" s="581"/>
      <c r="EI136" s="581"/>
      <c r="EJ136" s="581"/>
    </row>
    <row r="137" spans="1:140" ht="36">
      <c r="A137" s="768" t="s">
        <v>102</v>
      </c>
      <c r="B137" s="631"/>
      <c r="C137" s="631"/>
      <c r="D137" s="624"/>
      <c r="E137" s="768"/>
      <c r="F137" s="583"/>
      <c r="G137" s="681"/>
      <c r="H137" s="585"/>
      <c r="I137" s="586"/>
      <c r="J137" s="615">
        <f>J110+J121+J135</f>
        <v>135794105.1988595</v>
      </c>
      <c r="K137" s="588"/>
      <c r="L137" s="615">
        <f>L110+L121+L135</f>
        <v>7776797.588933334</v>
      </c>
      <c r="M137" s="615">
        <f>M110+M121+M135</f>
        <v>724883527.1931571</v>
      </c>
      <c r="N137" s="615">
        <f>N110+N121+N135</f>
        <v>701553134.426357</v>
      </c>
      <c r="O137" s="591"/>
      <c r="P137" s="615">
        <f aca="true" t="shared" si="36" ref="P137:AE137">P110+P121+P135</f>
        <v>709425487.1931571</v>
      </c>
      <c r="Q137" s="615">
        <f t="shared" si="36"/>
        <v>15458040</v>
      </c>
      <c r="R137" s="615">
        <f t="shared" si="36"/>
        <v>0</v>
      </c>
      <c r="S137" s="615">
        <f t="shared" si="36"/>
        <v>0</v>
      </c>
      <c r="T137" s="615">
        <f t="shared" si="36"/>
        <v>724883527.1931571</v>
      </c>
      <c r="U137" s="615">
        <f t="shared" si="36"/>
        <v>214723.44013372596</v>
      </c>
      <c r="V137" s="615">
        <f t="shared" si="36"/>
        <v>118237581.1988595</v>
      </c>
      <c r="W137" s="615">
        <f t="shared" si="36"/>
        <v>2576340</v>
      </c>
      <c r="X137" s="615">
        <f t="shared" si="36"/>
        <v>0</v>
      </c>
      <c r="Y137" s="615">
        <f t="shared" si="36"/>
        <v>0</v>
      </c>
      <c r="Z137" s="615">
        <f t="shared" si="36"/>
        <v>120813921.1988595</v>
      </c>
      <c r="AA137" s="615">
        <f t="shared" si="36"/>
        <v>5973359.588933334</v>
      </c>
      <c r="AB137" s="615">
        <f t="shared" si="36"/>
        <v>1803438</v>
      </c>
      <c r="AC137" s="615">
        <f t="shared" si="36"/>
        <v>0</v>
      </c>
      <c r="AD137" s="615">
        <f t="shared" si="36"/>
        <v>0</v>
      </c>
      <c r="AE137" s="615">
        <f t="shared" si="36"/>
        <v>7776797.588933334</v>
      </c>
      <c r="AG137" s="578"/>
      <c r="AH137" s="578"/>
      <c r="AI137" s="578"/>
      <c r="AJ137" s="578"/>
      <c r="AK137" s="578"/>
      <c r="AL137" s="579"/>
      <c r="AM137" s="580"/>
      <c r="AN137" s="581"/>
      <c r="AO137" s="581"/>
      <c r="AP137" s="579"/>
      <c r="AQ137" s="582"/>
      <c r="AR137" s="581"/>
      <c r="AS137" s="581"/>
      <c r="AT137" s="581"/>
      <c r="AU137" s="581"/>
      <c r="AV137" s="581"/>
      <c r="AW137" s="581"/>
      <c r="AX137" s="581"/>
      <c r="AY137" s="581"/>
      <c r="AZ137" s="581"/>
      <c r="BA137" s="581"/>
      <c r="BB137" s="581"/>
      <c r="BC137" s="581"/>
      <c r="BD137" s="581"/>
      <c r="BE137" s="581"/>
      <c r="BF137" s="581"/>
      <c r="BG137" s="581"/>
      <c r="BH137" s="581"/>
      <c r="BI137" s="581"/>
      <c r="BJ137" s="581"/>
      <c r="BK137" s="581"/>
      <c r="BL137" s="581"/>
      <c r="BM137" s="581"/>
      <c r="BN137" s="581"/>
      <c r="BO137" s="581"/>
      <c r="BP137" s="581"/>
      <c r="BQ137" s="581"/>
      <c r="BR137" s="581"/>
      <c r="BS137" s="581"/>
      <c r="BT137" s="581"/>
      <c r="BU137" s="581"/>
      <c r="BV137" s="581"/>
      <c r="BW137" s="581"/>
      <c r="BX137" s="581"/>
      <c r="BY137" s="581"/>
      <c r="BZ137" s="581"/>
      <c r="CA137" s="581"/>
      <c r="CB137" s="581"/>
      <c r="CC137" s="581"/>
      <c r="CD137" s="581"/>
      <c r="CE137" s="581"/>
      <c r="CF137" s="581"/>
      <c r="CG137" s="581"/>
      <c r="CH137" s="581"/>
      <c r="CI137" s="581"/>
      <c r="CJ137" s="581"/>
      <c r="CK137" s="581"/>
      <c r="CL137" s="581"/>
      <c r="CM137" s="581"/>
      <c r="CN137" s="581"/>
      <c r="CO137" s="581"/>
      <c r="CP137" s="581"/>
      <c r="CQ137" s="581"/>
      <c r="CR137" s="581"/>
      <c r="CS137" s="581"/>
      <c r="CT137" s="581"/>
      <c r="CU137" s="581"/>
      <c r="CV137" s="581"/>
      <c r="CW137" s="581"/>
      <c r="CX137" s="581"/>
      <c r="CY137" s="581"/>
      <c r="CZ137" s="581"/>
      <c r="DA137" s="581"/>
      <c r="DB137" s="581"/>
      <c r="DC137" s="581"/>
      <c r="DD137" s="581"/>
      <c r="DE137" s="581"/>
      <c r="DF137" s="581"/>
      <c r="DG137" s="581"/>
      <c r="DH137" s="581"/>
      <c r="DI137" s="581"/>
      <c r="DJ137" s="581"/>
      <c r="DK137" s="581"/>
      <c r="DL137" s="581"/>
      <c r="DM137" s="581"/>
      <c r="DN137" s="581"/>
      <c r="DO137" s="581"/>
      <c r="DP137" s="581"/>
      <c r="DQ137" s="581"/>
      <c r="DR137" s="581"/>
      <c r="DS137" s="581"/>
      <c r="DT137" s="581"/>
      <c r="DU137" s="581"/>
      <c r="DV137" s="581"/>
      <c r="DW137" s="581"/>
      <c r="DX137" s="581"/>
      <c r="DY137" s="581"/>
      <c r="DZ137" s="581"/>
      <c r="EA137" s="581"/>
      <c r="EB137" s="581"/>
      <c r="EC137" s="581"/>
      <c r="ED137" s="581"/>
      <c r="EE137" s="581"/>
      <c r="EF137" s="581"/>
      <c r="EG137" s="581"/>
      <c r="EH137" s="581"/>
      <c r="EI137" s="581"/>
      <c r="EJ137" s="581"/>
    </row>
    <row r="138" spans="1:140" ht="15">
      <c r="A138" s="631"/>
      <c r="B138" s="631"/>
      <c r="C138" s="631"/>
      <c r="D138" s="624"/>
      <c r="E138" s="631"/>
      <c r="F138" s="583"/>
      <c r="G138" s="681"/>
      <c r="H138" s="585"/>
      <c r="I138" s="586"/>
      <c r="J138" s="615"/>
      <c r="K138" s="588"/>
      <c r="L138" s="615"/>
      <c r="M138" s="615"/>
      <c r="N138" s="615"/>
      <c r="O138" s="591"/>
      <c r="P138" s="615"/>
      <c r="Q138" s="615"/>
      <c r="R138" s="615"/>
      <c r="S138" s="615"/>
      <c r="T138" s="615"/>
      <c r="U138" s="615"/>
      <c r="V138" s="615"/>
      <c r="W138" s="615"/>
      <c r="X138" s="615"/>
      <c r="Y138" s="615"/>
      <c r="Z138" s="615"/>
      <c r="AA138" s="615"/>
      <c r="AB138" s="615"/>
      <c r="AC138" s="615"/>
      <c r="AD138" s="615"/>
      <c r="AE138" s="615"/>
      <c r="AG138" s="578"/>
      <c r="AH138" s="578"/>
      <c r="AI138" s="578"/>
      <c r="AJ138" s="578"/>
      <c r="AK138" s="578"/>
      <c r="AL138" s="579"/>
      <c r="AM138" s="580"/>
      <c r="AN138" s="581"/>
      <c r="AO138" s="581"/>
      <c r="AP138" s="579"/>
      <c r="AQ138" s="582"/>
      <c r="AR138" s="581"/>
      <c r="AS138" s="581"/>
      <c r="AT138" s="581"/>
      <c r="AU138" s="581"/>
      <c r="AV138" s="581"/>
      <c r="AW138" s="581"/>
      <c r="AX138" s="581"/>
      <c r="AY138" s="581"/>
      <c r="AZ138" s="581"/>
      <c r="BA138" s="581"/>
      <c r="BB138" s="581"/>
      <c r="BC138" s="581"/>
      <c r="BD138" s="581"/>
      <c r="BE138" s="581"/>
      <c r="BF138" s="581"/>
      <c r="BG138" s="581"/>
      <c r="BH138" s="581"/>
      <c r="BI138" s="581"/>
      <c r="BJ138" s="581"/>
      <c r="BK138" s="581"/>
      <c r="BL138" s="581"/>
      <c r="BM138" s="581"/>
      <c r="BN138" s="581"/>
      <c r="BO138" s="581"/>
      <c r="BP138" s="581"/>
      <c r="BQ138" s="581"/>
      <c r="BR138" s="581"/>
      <c r="BS138" s="581"/>
      <c r="BT138" s="581"/>
      <c r="BU138" s="581"/>
      <c r="BV138" s="581"/>
      <c r="BW138" s="581"/>
      <c r="BX138" s="581"/>
      <c r="BY138" s="581"/>
      <c r="BZ138" s="581"/>
      <c r="CA138" s="581"/>
      <c r="CB138" s="581"/>
      <c r="CC138" s="581"/>
      <c r="CD138" s="581"/>
      <c r="CE138" s="581"/>
      <c r="CF138" s="581"/>
      <c r="CG138" s="581"/>
      <c r="CH138" s="581"/>
      <c r="CI138" s="581"/>
      <c r="CJ138" s="581"/>
      <c r="CK138" s="581"/>
      <c r="CL138" s="581"/>
      <c r="CM138" s="581"/>
      <c r="CN138" s="581"/>
      <c r="CO138" s="581"/>
      <c r="CP138" s="581"/>
      <c r="CQ138" s="581"/>
      <c r="CR138" s="581"/>
      <c r="CS138" s="581"/>
      <c r="CT138" s="581"/>
      <c r="CU138" s="581"/>
      <c r="CV138" s="581"/>
      <c r="CW138" s="581"/>
      <c r="CX138" s="581"/>
      <c r="CY138" s="581"/>
      <c r="CZ138" s="581"/>
      <c r="DA138" s="581"/>
      <c r="DB138" s="581"/>
      <c r="DC138" s="581"/>
      <c r="DD138" s="581"/>
      <c r="DE138" s="581"/>
      <c r="DF138" s="581"/>
      <c r="DG138" s="581"/>
      <c r="DH138" s="581"/>
      <c r="DI138" s="581"/>
      <c r="DJ138" s="581"/>
      <c r="DK138" s="581"/>
      <c r="DL138" s="581"/>
      <c r="DM138" s="581"/>
      <c r="DN138" s="581"/>
      <c r="DO138" s="581"/>
      <c r="DP138" s="581"/>
      <c r="DQ138" s="581"/>
      <c r="DR138" s="581"/>
      <c r="DS138" s="581"/>
      <c r="DT138" s="581"/>
      <c r="DU138" s="581"/>
      <c r="DV138" s="581"/>
      <c r="DW138" s="581"/>
      <c r="DX138" s="581"/>
      <c r="DY138" s="581"/>
      <c r="DZ138" s="581"/>
      <c r="EA138" s="581"/>
      <c r="EB138" s="581"/>
      <c r="EC138" s="581"/>
      <c r="ED138" s="581"/>
      <c r="EE138" s="581"/>
      <c r="EF138" s="581"/>
      <c r="EG138" s="581"/>
      <c r="EH138" s="581"/>
      <c r="EI138" s="581"/>
      <c r="EJ138" s="581"/>
    </row>
    <row r="139" spans="1:140" ht="15">
      <c r="A139" s="769"/>
      <c r="B139" s="769"/>
      <c r="C139" s="769"/>
      <c r="D139" s="769"/>
      <c r="E139" s="769"/>
      <c r="F139" s="583"/>
      <c r="G139" s="681"/>
      <c r="H139" s="585"/>
      <c r="I139" s="586"/>
      <c r="J139" s="587"/>
      <c r="K139" s="588"/>
      <c r="L139" s="690"/>
      <c r="M139" s="590"/>
      <c r="N139" s="590"/>
      <c r="O139" s="591"/>
      <c r="P139" s="590"/>
      <c r="Q139" s="590"/>
      <c r="R139" s="590"/>
      <c r="S139" s="590"/>
      <c r="T139" s="590"/>
      <c r="U139" s="592"/>
      <c r="V139" s="590"/>
      <c r="W139" s="590"/>
      <c r="X139" s="590"/>
      <c r="Y139" s="590"/>
      <c r="Z139" s="593"/>
      <c r="AA139" s="590"/>
      <c r="AB139" s="590"/>
      <c r="AC139" s="590"/>
      <c r="AD139" s="590"/>
      <c r="AE139" s="593"/>
      <c r="AG139" s="578"/>
      <c r="AH139" s="578"/>
      <c r="AI139" s="578"/>
      <c r="AJ139" s="578"/>
      <c r="AK139" s="578"/>
      <c r="AL139" s="579"/>
      <c r="AM139" s="580"/>
      <c r="AN139" s="581"/>
      <c r="AO139" s="581"/>
      <c r="AP139" s="579"/>
      <c r="AQ139" s="582"/>
      <c r="AR139" s="581"/>
      <c r="AS139" s="581"/>
      <c r="AT139" s="581"/>
      <c r="AU139" s="581"/>
      <c r="AV139" s="581"/>
      <c r="AW139" s="581"/>
      <c r="AX139" s="581"/>
      <c r="AY139" s="581"/>
      <c r="AZ139" s="581"/>
      <c r="BA139" s="581"/>
      <c r="BB139" s="581"/>
      <c r="BC139" s="581"/>
      <c r="BD139" s="581"/>
      <c r="BE139" s="581"/>
      <c r="BF139" s="581"/>
      <c r="BG139" s="581"/>
      <c r="BH139" s="581"/>
      <c r="BI139" s="581"/>
      <c r="BJ139" s="581"/>
      <c r="BK139" s="581"/>
      <c r="BL139" s="581"/>
      <c r="BM139" s="581"/>
      <c r="BN139" s="581"/>
      <c r="BO139" s="581"/>
      <c r="BP139" s="581"/>
      <c r="BQ139" s="581"/>
      <c r="BR139" s="581"/>
      <c r="BS139" s="581"/>
      <c r="BT139" s="581"/>
      <c r="BU139" s="581"/>
      <c r="BV139" s="581"/>
      <c r="BW139" s="581"/>
      <c r="BX139" s="581"/>
      <c r="BY139" s="581"/>
      <c r="BZ139" s="581"/>
      <c r="CA139" s="581"/>
      <c r="CB139" s="581"/>
      <c r="CC139" s="581"/>
      <c r="CD139" s="581"/>
      <c r="CE139" s="581"/>
      <c r="CF139" s="581"/>
      <c r="CG139" s="581"/>
      <c r="CH139" s="581"/>
      <c r="CI139" s="581"/>
      <c r="CJ139" s="581"/>
      <c r="CK139" s="581"/>
      <c r="CL139" s="581"/>
      <c r="CM139" s="581"/>
      <c r="CN139" s="581"/>
      <c r="CO139" s="581"/>
      <c r="CP139" s="581"/>
      <c r="CQ139" s="581"/>
      <c r="CR139" s="581"/>
      <c r="CS139" s="581"/>
      <c r="CT139" s="581"/>
      <c r="CU139" s="581"/>
      <c r="CV139" s="581"/>
      <c r="CW139" s="581"/>
      <c r="CX139" s="581"/>
      <c r="CY139" s="581"/>
      <c r="CZ139" s="581"/>
      <c r="DA139" s="581"/>
      <c r="DB139" s="581"/>
      <c r="DC139" s="581"/>
      <c r="DD139" s="581"/>
      <c r="DE139" s="581"/>
      <c r="DF139" s="581"/>
      <c r="DG139" s="581"/>
      <c r="DH139" s="581"/>
      <c r="DI139" s="581"/>
      <c r="DJ139" s="581"/>
      <c r="DK139" s="581"/>
      <c r="DL139" s="581"/>
      <c r="DM139" s="581"/>
      <c r="DN139" s="581"/>
      <c r="DO139" s="581"/>
      <c r="DP139" s="581"/>
      <c r="DQ139" s="581"/>
      <c r="DR139" s="581"/>
      <c r="DS139" s="581"/>
      <c r="DT139" s="581"/>
      <c r="DU139" s="581"/>
      <c r="DV139" s="581"/>
      <c r="DW139" s="581"/>
      <c r="DX139" s="581"/>
      <c r="DY139" s="581"/>
      <c r="DZ139" s="581"/>
      <c r="EA139" s="581"/>
      <c r="EB139" s="581"/>
      <c r="EC139" s="581"/>
      <c r="ED139" s="581"/>
      <c r="EE139" s="581"/>
      <c r="EF139" s="581"/>
      <c r="EG139" s="581"/>
      <c r="EH139" s="581"/>
      <c r="EI139" s="581"/>
      <c r="EJ139" s="581"/>
    </row>
    <row r="140" spans="1:140" ht="49.5">
      <c r="A140" s="664" t="s">
        <v>103</v>
      </c>
      <c r="B140" s="631"/>
      <c r="C140" s="631"/>
      <c r="D140" s="624"/>
      <c r="E140" s="664"/>
      <c r="F140" s="663"/>
      <c r="G140" s="657"/>
      <c r="H140" s="691"/>
      <c r="I140" s="692"/>
      <c r="J140" s="770">
        <f>J99+J137</f>
        <v>136532835.51948452</v>
      </c>
      <c r="K140" s="771"/>
      <c r="L140" s="770">
        <f>L99+L137</f>
        <v>7825564.5496000005</v>
      </c>
      <c r="M140" s="770">
        <f>M99+M137</f>
        <v>727224009.1169071</v>
      </c>
      <c r="N140" s="770">
        <f>N99+N137</f>
        <v>703747315.468107</v>
      </c>
      <c r="O140" s="639"/>
      <c r="P140" s="692">
        <f aca="true" t="shared" si="37" ref="P140:AE140">P99+P137</f>
        <v>711640689.1169071</v>
      </c>
      <c r="Q140" s="692">
        <f t="shared" si="37"/>
        <v>15458040</v>
      </c>
      <c r="R140" s="692">
        <f t="shared" si="37"/>
        <v>0</v>
      </c>
      <c r="S140" s="692">
        <f t="shared" si="37"/>
        <v>125280</v>
      </c>
      <c r="T140" s="692">
        <f t="shared" si="37"/>
        <v>727224009.1169071</v>
      </c>
      <c r="U140" s="772">
        <f t="shared" si="37"/>
        <v>1786134.3301515088</v>
      </c>
      <c r="V140" s="692">
        <f t="shared" si="37"/>
        <v>118606781.5194845</v>
      </c>
      <c r="W140" s="692">
        <f t="shared" si="37"/>
        <v>2576340</v>
      </c>
      <c r="X140" s="692">
        <f t="shared" si="37"/>
        <v>0</v>
      </c>
      <c r="Y140" s="692">
        <f t="shared" si="37"/>
        <v>20880</v>
      </c>
      <c r="Z140" s="692">
        <f t="shared" si="37"/>
        <v>121204001.5194845</v>
      </c>
      <c r="AA140" s="692">
        <f t="shared" si="37"/>
        <v>6022126.5496000005</v>
      </c>
      <c r="AB140" s="692">
        <f t="shared" si="37"/>
        <v>1803438</v>
      </c>
      <c r="AC140" s="692">
        <f t="shared" si="37"/>
        <v>0</v>
      </c>
      <c r="AD140" s="692">
        <f t="shared" si="37"/>
        <v>0</v>
      </c>
      <c r="AE140" s="692">
        <f t="shared" si="37"/>
        <v>7825564.5496000005</v>
      </c>
      <c r="AG140" s="578"/>
      <c r="AH140" s="578"/>
      <c r="AI140" s="578"/>
      <c r="AJ140" s="578"/>
      <c r="AK140" s="578"/>
      <c r="AL140" s="579"/>
      <c r="AM140" s="580"/>
      <c r="AN140" s="581"/>
      <c r="AO140" s="581"/>
      <c r="AP140" s="579"/>
      <c r="AQ140" s="582"/>
      <c r="AR140" s="581"/>
      <c r="AS140" s="581"/>
      <c r="AT140" s="581"/>
      <c r="AU140" s="581"/>
      <c r="AV140" s="581"/>
      <c r="AW140" s="581"/>
      <c r="AX140" s="581"/>
      <c r="AY140" s="581"/>
      <c r="AZ140" s="581"/>
      <c r="BA140" s="581"/>
      <c r="BB140" s="581"/>
      <c r="BC140" s="581"/>
      <c r="BD140" s="581"/>
      <c r="BE140" s="581"/>
      <c r="BF140" s="581"/>
      <c r="BG140" s="581"/>
      <c r="BH140" s="581"/>
      <c r="BI140" s="581"/>
      <c r="BJ140" s="581"/>
      <c r="BK140" s="581"/>
      <c r="BL140" s="581"/>
      <c r="BM140" s="581"/>
      <c r="BN140" s="581"/>
      <c r="BO140" s="581"/>
      <c r="BP140" s="581"/>
      <c r="BQ140" s="581"/>
      <c r="BR140" s="581"/>
      <c r="BS140" s="581"/>
      <c r="BT140" s="581"/>
      <c r="BU140" s="581"/>
      <c r="BV140" s="581"/>
      <c r="BW140" s="581"/>
      <c r="BX140" s="581"/>
      <c r="BY140" s="581"/>
      <c r="BZ140" s="581"/>
      <c r="CA140" s="581"/>
      <c r="CB140" s="581"/>
      <c r="CC140" s="581"/>
      <c r="CD140" s="581"/>
      <c r="CE140" s="581"/>
      <c r="CF140" s="581"/>
      <c r="CG140" s="581"/>
      <c r="CH140" s="581"/>
      <c r="CI140" s="581"/>
      <c r="CJ140" s="581"/>
      <c r="CK140" s="581"/>
      <c r="CL140" s="581"/>
      <c r="CM140" s="581"/>
      <c r="CN140" s="581"/>
      <c r="CO140" s="581"/>
      <c r="CP140" s="581"/>
      <c r="CQ140" s="581"/>
      <c r="CR140" s="581"/>
      <c r="CS140" s="581"/>
      <c r="CT140" s="581"/>
      <c r="CU140" s="581"/>
      <c r="CV140" s="581"/>
      <c r="CW140" s="581"/>
      <c r="CX140" s="581"/>
      <c r="CY140" s="581"/>
      <c r="CZ140" s="581"/>
      <c r="DA140" s="581"/>
      <c r="DB140" s="581"/>
      <c r="DC140" s="581"/>
      <c r="DD140" s="581"/>
      <c r="DE140" s="581"/>
      <c r="DF140" s="581"/>
      <c r="DG140" s="581"/>
      <c r="DH140" s="581"/>
      <c r="DI140" s="581"/>
      <c r="DJ140" s="581"/>
      <c r="DK140" s="581"/>
      <c r="DL140" s="581"/>
      <c r="DM140" s="581"/>
      <c r="DN140" s="581"/>
      <c r="DO140" s="581"/>
      <c r="DP140" s="581"/>
      <c r="DQ140" s="581"/>
      <c r="DR140" s="581"/>
      <c r="DS140" s="581"/>
      <c r="DT140" s="581"/>
      <c r="DU140" s="581"/>
      <c r="DV140" s="581"/>
      <c r="DW140" s="581"/>
      <c r="DX140" s="581"/>
      <c r="DY140" s="581"/>
      <c r="DZ140" s="581"/>
      <c r="EA140" s="581"/>
      <c r="EB140" s="581"/>
      <c r="EC140" s="581"/>
      <c r="ED140" s="581"/>
      <c r="EE140" s="581"/>
      <c r="EF140" s="581"/>
      <c r="EG140" s="581"/>
      <c r="EH140" s="581"/>
      <c r="EI140" s="581"/>
      <c r="EJ140" s="581"/>
    </row>
    <row r="141" spans="1:140" ht="19.5">
      <c r="A141" s="693"/>
      <c r="B141" s="631"/>
      <c r="C141" s="631"/>
      <c r="D141" s="624"/>
      <c r="E141" s="693"/>
      <c r="F141" s="663"/>
      <c r="G141" s="657"/>
      <c r="H141" s="691"/>
      <c r="I141" s="692"/>
      <c r="J141" s="772"/>
      <c r="K141" s="773"/>
      <c r="L141" s="772"/>
      <c r="M141" s="772"/>
      <c r="N141" s="772"/>
      <c r="O141" s="639"/>
      <c r="P141" s="625"/>
      <c r="Q141" s="625"/>
      <c r="R141" s="625"/>
      <c r="S141" s="625"/>
      <c r="T141" s="625"/>
      <c r="U141" s="625"/>
      <c r="V141" s="625"/>
      <c r="W141" s="625"/>
      <c r="X141" s="625"/>
      <c r="Y141" s="625"/>
      <c r="Z141" s="625"/>
      <c r="AA141" s="625"/>
      <c r="AB141" s="625"/>
      <c r="AC141" s="625"/>
      <c r="AD141" s="625"/>
      <c r="AE141" s="625"/>
      <c r="AG141" s="578"/>
      <c r="AH141" s="578"/>
      <c r="AI141" s="578"/>
      <c r="AJ141" s="578"/>
      <c r="AK141" s="578"/>
      <c r="AL141" s="579"/>
      <c r="AM141" s="580"/>
      <c r="AN141" s="581"/>
      <c r="AO141" s="581"/>
      <c r="AP141" s="579"/>
      <c r="AQ141" s="582"/>
      <c r="AR141" s="581"/>
      <c r="AS141" s="581"/>
      <c r="AT141" s="581"/>
      <c r="AU141" s="581"/>
      <c r="AV141" s="581"/>
      <c r="AW141" s="581"/>
      <c r="AX141" s="581"/>
      <c r="AY141" s="581"/>
      <c r="AZ141" s="581"/>
      <c r="BA141" s="581"/>
      <c r="BB141" s="581"/>
      <c r="BC141" s="581"/>
      <c r="BD141" s="581"/>
      <c r="BE141" s="581"/>
      <c r="BF141" s="581"/>
      <c r="BG141" s="581"/>
      <c r="BH141" s="581"/>
      <c r="BI141" s="581"/>
      <c r="BJ141" s="581"/>
      <c r="BK141" s="581"/>
      <c r="BL141" s="581"/>
      <c r="BM141" s="581"/>
      <c r="BN141" s="581"/>
      <c r="BO141" s="581"/>
      <c r="BP141" s="581"/>
      <c r="BQ141" s="581"/>
      <c r="BR141" s="581"/>
      <c r="BS141" s="581"/>
      <c r="BT141" s="581"/>
      <c r="BU141" s="581"/>
      <c r="BV141" s="581"/>
      <c r="BW141" s="581"/>
      <c r="BX141" s="581"/>
      <c r="BY141" s="581"/>
      <c r="BZ141" s="581"/>
      <c r="CA141" s="581"/>
      <c r="CB141" s="581"/>
      <c r="CC141" s="581"/>
      <c r="CD141" s="581"/>
      <c r="CE141" s="581"/>
      <c r="CF141" s="581"/>
      <c r="CG141" s="581"/>
      <c r="CH141" s="581"/>
      <c r="CI141" s="581"/>
      <c r="CJ141" s="581"/>
      <c r="CK141" s="581"/>
      <c r="CL141" s="581"/>
      <c r="CM141" s="581"/>
      <c r="CN141" s="581"/>
      <c r="CO141" s="581"/>
      <c r="CP141" s="581"/>
      <c r="CQ141" s="581"/>
      <c r="CR141" s="581"/>
      <c r="CS141" s="581"/>
      <c r="CT141" s="581"/>
      <c r="CU141" s="581"/>
      <c r="CV141" s="581"/>
      <c r="CW141" s="581"/>
      <c r="CX141" s="581"/>
      <c r="CY141" s="581"/>
      <c r="CZ141" s="581"/>
      <c r="DA141" s="581"/>
      <c r="DB141" s="581"/>
      <c r="DC141" s="581"/>
      <c r="DD141" s="581"/>
      <c r="DE141" s="581"/>
      <c r="DF141" s="581"/>
      <c r="DG141" s="581"/>
      <c r="DH141" s="581"/>
      <c r="DI141" s="581"/>
      <c r="DJ141" s="581"/>
      <c r="DK141" s="581"/>
      <c r="DL141" s="581"/>
      <c r="DM141" s="581"/>
      <c r="DN141" s="581"/>
      <c r="DO141" s="581"/>
      <c r="DP141" s="581"/>
      <c r="DQ141" s="581"/>
      <c r="DR141" s="581"/>
      <c r="DS141" s="581"/>
      <c r="DT141" s="581"/>
      <c r="DU141" s="581"/>
      <c r="DV141" s="581"/>
      <c r="DW141" s="581"/>
      <c r="DX141" s="581"/>
      <c r="DY141" s="581"/>
      <c r="DZ141" s="581"/>
      <c r="EA141" s="581"/>
      <c r="EB141" s="581"/>
      <c r="EC141" s="581"/>
      <c r="ED141" s="581"/>
      <c r="EE141" s="581"/>
      <c r="EF141" s="581"/>
      <c r="EG141" s="581"/>
      <c r="EH141" s="581"/>
      <c r="EI141" s="581"/>
      <c r="EJ141" s="581"/>
    </row>
    <row r="142" spans="1:140" ht="22.5">
      <c r="A142" s="642" t="s">
        <v>25</v>
      </c>
      <c r="B142" s="639"/>
      <c r="C142" s="639"/>
      <c r="D142" s="624"/>
      <c r="E142" s="642"/>
      <c r="F142" s="663"/>
      <c r="G142" s="657"/>
      <c r="H142" s="691"/>
      <c r="I142" s="692"/>
      <c r="J142" s="772"/>
      <c r="K142" s="773"/>
      <c r="L142" s="772"/>
      <c r="M142" s="772"/>
      <c r="N142" s="772"/>
      <c r="O142" s="639"/>
      <c r="P142" s="625"/>
      <c r="Q142" s="625"/>
      <c r="R142" s="625"/>
      <c r="S142" s="625"/>
      <c r="T142" s="625"/>
      <c r="U142" s="625"/>
      <c r="V142" s="625"/>
      <c r="W142" s="625"/>
      <c r="X142" s="625"/>
      <c r="Y142" s="625"/>
      <c r="Z142" s="625"/>
      <c r="AA142" s="625"/>
      <c r="AB142" s="625"/>
      <c r="AC142" s="625"/>
      <c r="AD142" s="625"/>
      <c r="AE142" s="625"/>
      <c r="AG142" s="578"/>
      <c r="AH142" s="578"/>
      <c r="AI142" s="578"/>
      <c r="AJ142" s="578"/>
      <c r="AK142" s="578"/>
      <c r="AL142" s="579"/>
      <c r="AM142" s="580"/>
      <c r="AN142" s="581"/>
      <c r="AO142" s="581"/>
      <c r="AP142" s="579"/>
      <c r="AQ142" s="582"/>
      <c r="AR142" s="581"/>
      <c r="AS142" s="581"/>
      <c r="AT142" s="581"/>
      <c r="AU142" s="581"/>
      <c r="AV142" s="581"/>
      <c r="AW142" s="581"/>
      <c r="AX142" s="581"/>
      <c r="AY142" s="581"/>
      <c r="AZ142" s="581"/>
      <c r="BA142" s="581"/>
      <c r="BB142" s="581"/>
      <c r="BC142" s="581"/>
      <c r="BD142" s="581"/>
      <c r="BE142" s="581"/>
      <c r="BF142" s="581"/>
      <c r="BG142" s="581"/>
      <c r="BH142" s="581"/>
      <c r="BI142" s="581"/>
      <c r="BJ142" s="581"/>
      <c r="BK142" s="581"/>
      <c r="BL142" s="581"/>
      <c r="BM142" s="581"/>
      <c r="BN142" s="581"/>
      <c r="BO142" s="581"/>
      <c r="BP142" s="581"/>
      <c r="BQ142" s="581"/>
      <c r="BR142" s="581"/>
      <c r="BS142" s="581"/>
      <c r="BT142" s="581"/>
      <c r="BU142" s="581"/>
      <c r="BV142" s="581"/>
      <c r="BW142" s="581"/>
      <c r="BX142" s="581"/>
      <c r="BY142" s="581"/>
      <c r="BZ142" s="581"/>
      <c r="CA142" s="581"/>
      <c r="CB142" s="581"/>
      <c r="CC142" s="581"/>
      <c r="CD142" s="581"/>
      <c r="CE142" s="581"/>
      <c r="CF142" s="581"/>
      <c r="CG142" s="581"/>
      <c r="CH142" s="581"/>
      <c r="CI142" s="581"/>
      <c r="CJ142" s="581"/>
      <c r="CK142" s="581"/>
      <c r="CL142" s="581"/>
      <c r="CM142" s="581"/>
      <c r="CN142" s="581"/>
      <c r="CO142" s="581"/>
      <c r="CP142" s="581"/>
      <c r="CQ142" s="581"/>
      <c r="CR142" s="581"/>
      <c r="CS142" s="581"/>
      <c r="CT142" s="581"/>
      <c r="CU142" s="581"/>
      <c r="CV142" s="581"/>
      <c r="CW142" s="581"/>
      <c r="CX142" s="581"/>
      <c r="CY142" s="581"/>
      <c r="CZ142" s="581"/>
      <c r="DA142" s="581"/>
      <c r="DB142" s="581"/>
      <c r="DC142" s="581"/>
      <c r="DD142" s="581"/>
      <c r="DE142" s="581"/>
      <c r="DF142" s="581"/>
      <c r="DG142" s="581"/>
      <c r="DH142" s="581"/>
      <c r="DI142" s="581"/>
      <c r="DJ142" s="581"/>
      <c r="DK142" s="581"/>
      <c r="DL142" s="581"/>
      <c r="DM142" s="581"/>
      <c r="DN142" s="581"/>
      <c r="DO142" s="581"/>
      <c r="DP142" s="581"/>
      <c r="DQ142" s="581"/>
      <c r="DR142" s="581"/>
      <c r="DS142" s="581"/>
      <c r="DT142" s="581"/>
      <c r="DU142" s="581"/>
      <c r="DV142" s="581"/>
      <c r="DW142" s="581"/>
      <c r="DX142" s="581"/>
      <c r="DY142" s="581"/>
      <c r="DZ142" s="581"/>
      <c r="EA142" s="581"/>
      <c r="EB142" s="581"/>
      <c r="EC142" s="581"/>
      <c r="ED142" s="581"/>
      <c r="EE142" s="581"/>
      <c r="EF142" s="581"/>
      <c r="EG142" s="581"/>
      <c r="EH142" s="581"/>
      <c r="EI142" s="581"/>
      <c r="EJ142" s="581"/>
    </row>
    <row r="143" spans="1:140" ht="75">
      <c r="A143" s="694" t="s">
        <v>104</v>
      </c>
      <c r="B143" s="854"/>
      <c r="C143" s="854"/>
      <c r="D143" s="732"/>
      <c r="E143" s="694"/>
      <c r="F143" s="695"/>
      <c r="G143" s="570"/>
      <c r="H143" s="696"/>
      <c r="I143" s="697"/>
      <c r="J143" s="697"/>
      <c r="K143" s="698"/>
      <c r="L143" s="698"/>
      <c r="M143" s="699"/>
      <c r="N143" s="699"/>
      <c r="O143" s="700"/>
      <c r="P143" s="699"/>
      <c r="Q143" s="699"/>
      <c r="R143" s="699"/>
      <c r="S143" s="699"/>
      <c r="T143" s="699"/>
      <c r="U143" s="701"/>
      <c r="V143" s="701"/>
      <c r="W143" s="701"/>
      <c r="X143" s="701"/>
      <c r="Y143" s="701"/>
      <c r="Z143" s="701"/>
      <c r="AA143" s="701"/>
      <c r="AB143" s="701"/>
      <c r="AC143" s="701"/>
      <c r="AD143" s="701"/>
      <c r="AE143" s="701"/>
      <c r="AG143" s="578"/>
      <c r="AH143" s="578"/>
      <c r="AI143" s="578"/>
      <c r="AJ143" s="578"/>
      <c r="AK143" s="578"/>
      <c r="AL143" s="579"/>
      <c r="AM143" s="580"/>
      <c r="AN143" s="581"/>
      <c r="AO143" s="581"/>
      <c r="AP143" s="579"/>
      <c r="AQ143" s="582"/>
      <c r="AR143" s="581"/>
      <c r="AS143" s="581"/>
      <c r="AT143" s="581"/>
      <c r="AU143" s="581"/>
      <c r="AV143" s="581"/>
      <c r="AW143" s="581"/>
      <c r="AX143" s="581"/>
      <c r="AY143" s="581"/>
      <c r="AZ143" s="581"/>
      <c r="BA143" s="581"/>
      <c r="BB143" s="581"/>
      <c r="BC143" s="581"/>
      <c r="BD143" s="581"/>
      <c r="BE143" s="581"/>
      <c r="BF143" s="581"/>
      <c r="BG143" s="581"/>
      <c r="BH143" s="581"/>
      <c r="BI143" s="581"/>
      <c r="BJ143" s="581"/>
      <c r="BK143" s="581"/>
      <c r="BL143" s="581"/>
      <c r="BM143" s="581"/>
      <c r="BN143" s="581"/>
      <c r="BO143" s="581"/>
      <c r="BP143" s="581"/>
      <c r="BQ143" s="581"/>
      <c r="BR143" s="581"/>
      <c r="BS143" s="581"/>
      <c r="BT143" s="581"/>
      <c r="BU143" s="581"/>
      <c r="BV143" s="581"/>
      <c r="BW143" s="581"/>
      <c r="BX143" s="581"/>
      <c r="BY143" s="581"/>
      <c r="BZ143" s="581"/>
      <c r="CA143" s="581"/>
      <c r="CB143" s="581"/>
      <c r="CC143" s="581"/>
      <c r="CD143" s="581"/>
      <c r="CE143" s="581"/>
      <c r="CF143" s="581"/>
      <c r="CG143" s="581"/>
      <c r="CH143" s="581"/>
      <c r="CI143" s="581"/>
      <c r="CJ143" s="581"/>
      <c r="CK143" s="581"/>
      <c r="CL143" s="581"/>
      <c r="CM143" s="581"/>
      <c r="CN143" s="581"/>
      <c r="CO143" s="581"/>
      <c r="CP143" s="581"/>
      <c r="CQ143" s="581"/>
      <c r="CR143" s="581"/>
      <c r="CS143" s="581"/>
      <c r="CT143" s="581"/>
      <c r="CU143" s="581"/>
      <c r="CV143" s="581"/>
      <c r="CW143" s="581"/>
      <c r="CX143" s="581"/>
      <c r="CY143" s="581"/>
      <c r="CZ143" s="581"/>
      <c r="DA143" s="581"/>
      <c r="DB143" s="581"/>
      <c r="DC143" s="581"/>
      <c r="DD143" s="581"/>
      <c r="DE143" s="581"/>
      <c r="DF143" s="581"/>
      <c r="DG143" s="581"/>
      <c r="DH143" s="581"/>
      <c r="DI143" s="581"/>
      <c r="DJ143" s="581"/>
      <c r="DK143" s="581"/>
      <c r="DL143" s="581"/>
      <c r="DM143" s="581"/>
      <c r="DN143" s="581"/>
      <c r="DO143" s="581"/>
      <c r="DP143" s="581"/>
      <c r="DQ143" s="581"/>
      <c r="DR143" s="581"/>
      <c r="DS143" s="581"/>
      <c r="DT143" s="581"/>
      <c r="DU143" s="581"/>
      <c r="DV143" s="581"/>
      <c r="DW143" s="581"/>
      <c r="DX143" s="581"/>
      <c r="DY143" s="581"/>
      <c r="DZ143" s="581"/>
      <c r="EA143" s="581"/>
      <c r="EB143" s="581"/>
      <c r="EC143" s="581"/>
      <c r="ED143" s="581"/>
      <c r="EE143" s="581"/>
      <c r="EF143" s="581"/>
      <c r="EG143" s="581"/>
      <c r="EH143" s="581"/>
      <c r="EI143" s="581"/>
      <c r="EJ143" s="581"/>
    </row>
    <row r="144" spans="1:140" ht="24.75">
      <c r="A144" s="694"/>
      <c r="B144" s="854"/>
      <c r="C144" s="854"/>
      <c r="D144" s="732"/>
      <c r="E144" s="694"/>
      <c r="F144" s="695"/>
      <c r="G144" s="570"/>
      <c r="H144" s="696"/>
      <c r="I144" s="697"/>
      <c r="J144" s="697"/>
      <c r="K144" s="698"/>
      <c r="L144" s="698"/>
      <c r="M144" s="699"/>
      <c r="N144" s="699"/>
      <c r="O144" s="700"/>
      <c r="P144" s="699"/>
      <c r="Q144" s="699"/>
      <c r="R144" s="699"/>
      <c r="S144" s="699"/>
      <c r="T144" s="699"/>
      <c r="U144" s="701"/>
      <c r="V144" s="701"/>
      <c r="W144" s="701"/>
      <c r="X144" s="701"/>
      <c r="Y144" s="701"/>
      <c r="Z144" s="701"/>
      <c r="AA144" s="701"/>
      <c r="AB144" s="701"/>
      <c r="AC144" s="701"/>
      <c r="AD144" s="701"/>
      <c r="AE144" s="701"/>
      <c r="AG144" s="578"/>
      <c r="AH144" s="578"/>
      <c r="AI144" s="578"/>
      <c r="AJ144" s="578"/>
      <c r="AK144" s="578"/>
      <c r="AL144" s="579"/>
      <c r="AM144" s="580"/>
      <c r="AN144" s="581"/>
      <c r="AO144" s="581"/>
      <c r="AP144" s="579"/>
      <c r="AQ144" s="582"/>
      <c r="AR144" s="581"/>
      <c r="AS144" s="581"/>
      <c r="AT144" s="581"/>
      <c r="AU144" s="581"/>
      <c r="AV144" s="581"/>
      <c r="AW144" s="581"/>
      <c r="AX144" s="581"/>
      <c r="AY144" s="581"/>
      <c r="AZ144" s="581"/>
      <c r="BA144" s="581"/>
      <c r="BB144" s="581"/>
      <c r="BC144" s="581"/>
      <c r="BD144" s="581"/>
      <c r="BE144" s="581"/>
      <c r="BF144" s="581"/>
      <c r="BG144" s="581"/>
      <c r="BH144" s="581"/>
      <c r="BI144" s="581"/>
      <c r="BJ144" s="581"/>
      <c r="BK144" s="581"/>
      <c r="BL144" s="581"/>
      <c r="BM144" s="581"/>
      <c r="BN144" s="581"/>
      <c r="BO144" s="581"/>
      <c r="BP144" s="581"/>
      <c r="BQ144" s="581"/>
      <c r="BR144" s="581"/>
      <c r="BS144" s="581"/>
      <c r="BT144" s="581"/>
      <c r="BU144" s="581"/>
      <c r="BV144" s="581"/>
      <c r="BW144" s="581"/>
      <c r="BX144" s="581"/>
      <c r="BY144" s="581"/>
      <c r="BZ144" s="581"/>
      <c r="CA144" s="581"/>
      <c r="CB144" s="581"/>
      <c r="CC144" s="581"/>
      <c r="CD144" s="581"/>
      <c r="CE144" s="581"/>
      <c r="CF144" s="581"/>
      <c r="CG144" s="581"/>
      <c r="CH144" s="581"/>
      <c r="CI144" s="581"/>
      <c r="CJ144" s="581"/>
      <c r="CK144" s="581"/>
      <c r="CL144" s="581"/>
      <c r="CM144" s="581"/>
      <c r="CN144" s="581"/>
      <c r="CO144" s="581"/>
      <c r="CP144" s="581"/>
      <c r="CQ144" s="581"/>
      <c r="CR144" s="581"/>
      <c r="CS144" s="581"/>
      <c r="CT144" s="581"/>
      <c r="CU144" s="581"/>
      <c r="CV144" s="581"/>
      <c r="CW144" s="581"/>
      <c r="CX144" s="581"/>
      <c r="CY144" s="581"/>
      <c r="CZ144" s="581"/>
      <c r="DA144" s="581"/>
      <c r="DB144" s="581"/>
      <c r="DC144" s="581"/>
      <c r="DD144" s="581"/>
      <c r="DE144" s="581"/>
      <c r="DF144" s="581"/>
      <c r="DG144" s="581"/>
      <c r="DH144" s="581"/>
      <c r="DI144" s="581"/>
      <c r="DJ144" s="581"/>
      <c r="DK144" s="581"/>
      <c r="DL144" s="581"/>
      <c r="DM144" s="581"/>
      <c r="DN144" s="581"/>
      <c r="DO144" s="581"/>
      <c r="DP144" s="581"/>
      <c r="DQ144" s="581"/>
      <c r="DR144" s="581"/>
      <c r="DS144" s="581"/>
      <c r="DT144" s="581"/>
      <c r="DU144" s="581"/>
      <c r="DV144" s="581"/>
      <c r="DW144" s="581"/>
      <c r="DX144" s="581"/>
      <c r="DY144" s="581"/>
      <c r="DZ144" s="581"/>
      <c r="EA144" s="581"/>
      <c r="EB144" s="581"/>
      <c r="EC144" s="581"/>
      <c r="ED144" s="581"/>
      <c r="EE144" s="581"/>
      <c r="EF144" s="581"/>
      <c r="EG144" s="581"/>
      <c r="EH144" s="581"/>
      <c r="EI144" s="581"/>
      <c r="EJ144" s="581"/>
    </row>
    <row r="145" spans="1:140" ht="77.25">
      <c r="A145" s="702" t="s">
        <v>923</v>
      </c>
      <c r="B145" s="702"/>
      <c r="C145" s="702"/>
      <c r="D145" s="702"/>
      <c r="E145" s="702"/>
      <c r="F145" s="703" t="s">
        <v>25</v>
      </c>
      <c r="G145" s="704"/>
      <c r="H145" s="705"/>
      <c r="I145" s="706"/>
      <c r="J145" s="707">
        <v>4000000</v>
      </c>
      <c r="K145" s="708"/>
      <c r="L145" s="708"/>
      <c r="M145" s="709"/>
      <c r="N145" s="709"/>
      <c r="O145" s="710"/>
      <c r="P145" s="709"/>
      <c r="Q145" s="709"/>
      <c r="R145" s="709"/>
      <c r="S145" s="709"/>
      <c r="T145" s="709"/>
      <c r="U145" s="711"/>
      <c r="V145" s="711"/>
      <c r="W145" s="711"/>
      <c r="X145" s="711"/>
      <c r="Y145" s="711"/>
      <c r="Z145" s="711"/>
      <c r="AA145" s="711"/>
      <c r="AB145" s="711"/>
      <c r="AC145" s="711"/>
      <c r="AD145" s="711"/>
      <c r="AE145" s="711"/>
      <c r="AF145" s="543"/>
      <c r="AG145" s="837"/>
      <c r="AH145" s="837"/>
      <c r="AI145" s="837"/>
      <c r="AJ145" s="837"/>
      <c r="AK145" s="837"/>
      <c r="AL145" s="818"/>
      <c r="AM145" s="816"/>
      <c r="AN145" s="817"/>
      <c r="AO145" s="817"/>
      <c r="AP145" s="818"/>
      <c r="AQ145" s="838"/>
      <c r="AR145" s="817"/>
      <c r="AS145" s="817"/>
      <c r="AT145" s="817"/>
      <c r="AU145" s="817"/>
      <c r="AV145" s="817"/>
      <c r="AW145" s="817"/>
      <c r="AX145" s="817"/>
      <c r="AY145" s="817"/>
      <c r="AZ145" s="817"/>
      <c r="BA145" s="817"/>
      <c r="BB145" s="817"/>
      <c r="BC145" s="817"/>
      <c r="BD145" s="817"/>
      <c r="BE145" s="817"/>
      <c r="BF145" s="817"/>
      <c r="BG145" s="817"/>
      <c r="BH145" s="817"/>
      <c r="BI145" s="817"/>
      <c r="BJ145" s="817"/>
      <c r="BK145" s="817"/>
      <c r="BL145" s="817"/>
      <c r="BM145" s="817"/>
      <c r="BN145" s="817"/>
      <c r="BO145" s="817"/>
      <c r="BP145" s="817"/>
      <c r="BQ145" s="817"/>
      <c r="BR145" s="817"/>
      <c r="BS145" s="817"/>
      <c r="BT145" s="817"/>
      <c r="BU145" s="817"/>
      <c r="BV145" s="817"/>
      <c r="BW145" s="817"/>
      <c r="BX145" s="817"/>
      <c r="BY145" s="817"/>
      <c r="BZ145" s="817"/>
      <c r="CA145" s="817"/>
      <c r="CB145" s="817"/>
      <c r="CC145" s="817"/>
      <c r="CD145" s="817"/>
      <c r="CE145" s="817"/>
      <c r="CF145" s="817"/>
      <c r="CG145" s="817"/>
      <c r="CH145" s="817"/>
      <c r="CI145" s="817"/>
      <c r="CJ145" s="817"/>
      <c r="CK145" s="817"/>
      <c r="CL145" s="817"/>
      <c r="CM145" s="817"/>
      <c r="CN145" s="817"/>
      <c r="CO145" s="817"/>
      <c r="CP145" s="817"/>
      <c r="CQ145" s="817"/>
      <c r="CR145" s="817"/>
      <c r="CS145" s="817"/>
      <c r="CT145" s="817"/>
      <c r="CU145" s="817"/>
      <c r="CV145" s="817"/>
      <c r="CW145" s="817"/>
      <c r="CX145" s="817"/>
      <c r="CY145" s="817"/>
      <c r="CZ145" s="817"/>
      <c r="DA145" s="817"/>
      <c r="DB145" s="817"/>
      <c r="DC145" s="817"/>
      <c r="DD145" s="817"/>
      <c r="DE145" s="817"/>
      <c r="DF145" s="817"/>
      <c r="DG145" s="817"/>
      <c r="DH145" s="817"/>
      <c r="DI145" s="817"/>
      <c r="DJ145" s="817"/>
      <c r="DK145" s="817"/>
      <c r="DL145" s="817"/>
      <c r="DM145" s="817"/>
      <c r="DN145" s="817"/>
      <c r="DO145" s="817"/>
      <c r="DP145" s="817"/>
      <c r="DQ145" s="817"/>
      <c r="DR145" s="817"/>
      <c r="DS145" s="817"/>
      <c r="DT145" s="817"/>
      <c r="DU145" s="817"/>
      <c r="DV145" s="817"/>
      <c r="DW145" s="817"/>
      <c r="DX145" s="817"/>
      <c r="DY145" s="817"/>
      <c r="DZ145" s="817"/>
      <c r="EA145" s="817"/>
      <c r="EB145" s="817"/>
      <c r="EC145" s="817"/>
      <c r="ED145" s="817"/>
      <c r="EE145" s="817"/>
      <c r="EF145" s="817"/>
      <c r="EG145" s="817"/>
      <c r="EH145" s="817"/>
      <c r="EI145" s="817"/>
      <c r="EJ145" s="817"/>
    </row>
    <row r="146" spans="1:140" ht="15">
      <c r="A146" s="774"/>
      <c r="B146" s="775"/>
      <c r="C146" s="775"/>
      <c r="D146" s="600"/>
      <c r="E146" s="774"/>
      <c r="F146" s="583"/>
      <c r="I146" s="586"/>
      <c r="J146" s="615"/>
      <c r="K146" s="606"/>
      <c r="L146" s="712">
        <f>State_Detail!G14</f>
        <v>72602.04000000001</v>
      </c>
      <c r="M146" s="625">
        <f>J146*BudgetYears</f>
        <v>0</v>
      </c>
      <c r="N146" s="590">
        <f>(M146)-(L146*3)</f>
        <v>-217806.12000000002</v>
      </c>
      <c r="O146" s="591" t="s">
        <v>107</v>
      </c>
      <c r="P146" s="590">
        <f>IF($O146="S/L or L",$M146,0)</f>
        <v>0</v>
      </c>
      <c r="Q146" s="590">
        <f>IF($O146="L",$M146,0)</f>
        <v>0</v>
      </c>
      <c r="R146" s="590">
        <f>IF($O146="S",$M146,0)</f>
        <v>0</v>
      </c>
      <c r="S146" s="590">
        <f>IF($O146="F",$M146,0)</f>
        <v>0</v>
      </c>
      <c r="T146" s="625">
        <f>SUM(P146:S146)</f>
        <v>0</v>
      </c>
      <c r="U146" s="713" t="s">
        <v>25</v>
      </c>
      <c r="V146" s="590">
        <f>IF($O146="S/L or L",$J146,0)</f>
        <v>0</v>
      </c>
      <c r="W146" s="590">
        <f>IF($O146="L",$J146,0)</f>
        <v>0</v>
      </c>
      <c r="X146" s="590">
        <f>IF($O146="S",$J146,0)</f>
        <v>0</v>
      </c>
      <c r="Y146" s="590">
        <f>IF($O146="F",$J146,0)</f>
        <v>0</v>
      </c>
      <c r="Z146" s="593">
        <f>SUM(V146:Y146)</f>
        <v>0</v>
      </c>
      <c r="AA146" s="590">
        <f>IF($O146="S/L or L",$L146,0)</f>
        <v>0</v>
      </c>
      <c r="AB146" s="590">
        <f>IF($O146="L",$L146,0)</f>
        <v>0</v>
      </c>
      <c r="AC146" s="590">
        <f>IF($O146="S",$L146,0)</f>
        <v>72602.04000000001</v>
      </c>
      <c r="AD146" s="590">
        <f>IF($O146="F",$L146,0)</f>
        <v>0</v>
      </c>
      <c r="AE146" s="593">
        <f>SUM(AA146:AD146)</f>
        <v>72602.04000000001</v>
      </c>
      <c r="AF146" s="543"/>
      <c r="AG146" s="837"/>
      <c r="AH146" s="837"/>
      <c r="AI146" s="837"/>
      <c r="AJ146" s="837"/>
      <c r="AK146" s="837"/>
      <c r="AL146" s="818"/>
      <c r="AM146" s="816"/>
      <c r="AN146" s="817"/>
      <c r="AO146" s="817"/>
      <c r="AP146" s="818"/>
      <c r="AQ146" s="838"/>
      <c r="AR146" s="817"/>
      <c r="AS146" s="817"/>
      <c r="AT146" s="817"/>
      <c r="AU146" s="817"/>
      <c r="AV146" s="817"/>
      <c r="AW146" s="817"/>
      <c r="AX146" s="817"/>
      <c r="AY146" s="817"/>
      <c r="AZ146" s="817"/>
      <c r="BA146" s="817"/>
      <c r="BB146" s="817"/>
      <c r="BC146" s="817"/>
      <c r="BD146" s="817"/>
      <c r="BE146" s="817"/>
      <c r="BF146" s="817"/>
      <c r="BG146" s="817"/>
      <c r="BH146" s="817"/>
      <c r="BI146" s="817"/>
      <c r="BJ146" s="817"/>
      <c r="BK146" s="817"/>
      <c r="BL146" s="817"/>
      <c r="BM146" s="817"/>
      <c r="BN146" s="817"/>
      <c r="BO146" s="817"/>
      <c r="BP146" s="817"/>
      <c r="BQ146" s="817"/>
      <c r="BR146" s="817"/>
      <c r="BS146" s="817"/>
      <c r="BT146" s="817"/>
      <c r="BU146" s="817"/>
      <c r="BV146" s="817"/>
      <c r="BW146" s="817"/>
      <c r="BX146" s="817"/>
      <c r="BY146" s="817"/>
      <c r="BZ146" s="817"/>
      <c r="CA146" s="817"/>
      <c r="CB146" s="817"/>
      <c r="CC146" s="817"/>
      <c r="CD146" s="817"/>
      <c r="CE146" s="817"/>
      <c r="CF146" s="817"/>
      <c r="CG146" s="817"/>
      <c r="CH146" s="817"/>
      <c r="CI146" s="817"/>
      <c r="CJ146" s="817"/>
      <c r="CK146" s="817"/>
      <c r="CL146" s="817"/>
      <c r="CM146" s="817"/>
      <c r="CN146" s="817"/>
      <c r="CO146" s="817"/>
      <c r="CP146" s="817"/>
      <c r="CQ146" s="817"/>
      <c r="CR146" s="817"/>
      <c r="CS146" s="817"/>
      <c r="CT146" s="817"/>
      <c r="CU146" s="817"/>
      <c r="CV146" s="817"/>
      <c r="CW146" s="817"/>
      <c r="CX146" s="817"/>
      <c r="CY146" s="817"/>
      <c r="CZ146" s="817"/>
      <c r="DA146" s="817"/>
      <c r="DB146" s="817"/>
      <c r="DC146" s="817"/>
      <c r="DD146" s="817"/>
      <c r="DE146" s="817"/>
      <c r="DF146" s="817"/>
      <c r="DG146" s="817"/>
      <c r="DH146" s="817"/>
      <c r="DI146" s="817"/>
      <c r="DJ146" s="817"/>
      <c r="DK146" s="817"/>
      <c r="DL146" s="817"/>
      <c r="DM146" s="817"/>
      <c r="DN146" s="817"/>
      <c r="DO146" s="817"/>
      <c r="DP146" s="817"/>
      <c r="DQ146" s="817"/>
      <c r="DR146" s="817"/>
      <c r="DS146" s="817"/>
      <c r="DT146" s="817"/>
      <c r="DU146" s="817"/>
      <c r="DV146" s="817"/>
      <c r="DW146" s="817"/>
      <c r="DX146" s="817"/>
      <c r="DY146" s="817"/>
      <c r="DZ146" s="817"/>
      <c r="EA146" s="817"/>
      <c r="EB146" s="817"/>
      <c r="EC146" s="817"/>
      <c r="ED146" s="817"/>
      <c r="EE146" s="817"/>
      <c r="EF146" s="817"/>
      <c r="EG146" s="817"/>
      <c r="EH146" s="817"/>
      <c r="EI146" s="817"/>
      <c r="EJ146" s="817"/>
    </row>
    <row r="147" spans="1:140" ht="15">
      <c r="A147" s="600" t="s">
        <v>25</v>
      </c>
      <c r="B147" s="600"/>
      <c r="C147" s="600"/>
      <c r="D147" s="600"/>
      <c r="E147" s="600"/>
      <c r="F147" s="663"/>
      <c r="G147" s="657"/>
      <c r="H147" s="658"/>
      <c r="I147" s="659"/>
      <c r="J147" s="659"/>
      <c r="K147" s="610"/>
      <c r="L147" s="714"/>
      <c r="M147" s="625"/>
      <c r="N147" s="625"/>
      <c r="O147" s="639"/>
      <c r="P147" s="625"/>
      <c r="Q147" s="625"/>
      <c r="R147" s="625"/>
      <c r="S147" s="625"/>
      <c r="T147" s="625"/>
      <c r="U147" s="593"/>
      <c r="V147" s="593"/>
      <c r="W147" s="593"/>
      <c r="X147" s="593"/>
      <c r="Y147" s="593"/>
      <c r="Z147" s="593"/>
      <c r="AA147" s="593"/>
      <c r="AB147" s="593"/>
      <c r="AC147" s="593"/>
      <c r="AD147" s="593"/>
      <c r="AE147" s="593"/>
      <c r="AF147" s="543"/>
      <c r="AG147" s="837"/>
      <c r="AH147" s="837"/>
      <c r="AI147" s="837"/>
      <c r="AJ147" s="837"/>
      <c r="AK147" s="837"/>
      <c r="AL147" s="818"/>
      <c r="AM147" s="816"/>
      <c r="AN147" s="817"/>
      <c r="AO147" s="817"/>
      <c r="AP147" s="818"/>
      <c r="AQ147" s="838"/>
      <c r="AR147" s="817"/>
      <c r="AS147" s="817"/>
      <c r="AT147" s="817"/>
      <c r="AU147" s="817"/>
      <c r="AV147" s="817"/>
      <c r="AW147" s="817"/>
      <c r="AX147" s="817"/>
      <c r="AY147" s="817"/>
      <c r="AZ147" s="817"/>
      <c r="BA147" s="817"/>
      <c r="BB147" s="817"/>
      <c r="BC147" s="817"/>
      <c r="BD147" s="817"/>
      <c r="BE147" s="817"/>
      <c r="BF147" s="817"/>
      <c r="BG147" s="817"/>
      <c r="BH147" s="817"/>
      <c r="BI147" s="817"/>
      <c r="BJ147" s="817"/>
      <c r="BK147" s="817"/>
      <c r="BL147" s="817"/>
      <c r="BM147" s="817"/>
      <c r="BN147" s="817"/>
      <c r="BO147" s="817"/>
      <c r="BP147" s="817"/>
      <c r="BQ147" s="817"/>
      <c r="BR147" s="817"/>
      <c r="BS147" s="817"/>
      <c r="BT147" s="817"/>
      <c r="BU147" s="817"/>
      <c r="BV147" s="817"/>
      <c r="BW147" s="817"/>
      <c r="BX147" s="817"/>
      <c r="BY147" s="817"/>
      <c r="BZ147" s="817"/>
      <c r="CA147" s="817"/>
      <c r="CB147" s="817"/>
      <c r="CC147" s="817"/>
      <c r="CD147" s="817"/>
      <c r="CE147" s="817"/>
      <c r="CF147" s="817"/>
      <c r="CG147" s="817"/>
      <c r="CH147" s="817"/>
      <c r="CI147" s="817"/>
      <c r="CJ147" s="817"/>
      <c r="CK147" s="817"/>
      <c r="CL147" s="817"/>
      <c r="CM147" s="817"/>
      <c r="CN147" s="817"/>
      <c r="CO147" s="817"/>
      <c r="CP147" s="817"/>
      <c r="CQ147" s="817"/>
      <c r="CR147" s="817"/>
      <c r="CS147" s="817"/>
      <c r="CT147" s="817"/>
      <c r="CU147" s="817"/>
      <c r="CV147" s="817"/>
      <c r="CW147" s="817"/>
      <c r="CX147" s="817"/>
      <c r="CY147" s="817"/>
      <c r="CZ147" s="817"/>
      <c r="DA147" s="817"/>
      <c r="DB147" s="817"/>
      <c r="DC147" s="817"/>
      <c r="DD147" s="817"/>
      <c r="DE147" s="817"/>
      <c r="DF147" s="817"/>
      <c r="DG147" s="817"/>
      <c r="DH147" s="817"/>
      <c r="DI147" s="817"/>
      <c r="DJ147" s="817"/>
      <c r="DK147" s="817"/>
      <c r="DL147" s="817"/>
      <c r="DM147" s="817"/>
      <c r="DN147" s="817"/>
      <c r="DO147" s="817"/>
      <c r="DP147" s="817"/>
      <c r="DQ147" s="817"/>
      <c r="DR147" s="817"/>
      <c r="DS147" s="817"/>
      <c r="DT147" s="817"/>
      <c r="DU147" s="817"/>
      <c r="DV147" s="817"/>
      <c r="DW147" s="817"/>
      <c r="DX147" s="817"/>
      <c r="DY147" s="817"/>
      <c r="DZ147" s="817"/>
      <c r="EA147" s="817"/>
      <c r="EB147" s="817"/>
      <c r="EC147" s="817"/>
      <c r="ED147" s="817"/>
      <c r="EE147" s="817"/>
      <c r="EF147" s="817"/>
      <c r="EG147" s="817"/>
      <c r="EH147" s="817"/>
      <c r="EI147" s="817"/>
      <c r="EJ147" s="817"/>
    </row>
    <row r="148" spans="1:140" ht="77.25">
      <c r="A148" s="702" t="s">
        <v>924</v>
      </c>
      <c r="B148" s="702"/>
      <c r="C148" s="702"/>
      <c r="D148" s="702"/>
      <c r="E148" s="702"/>
      <c r="F148" s="703" t="s">
        <v>25</v>
      </c>
      <c r="G148" s="704"/>
      <c r="H148" s="705"/>
      <c r="I148" s="706"/>
      <c r="J148" s="707">
        <v>5700000</v>
      </c>
      <c r="K148" s="708"/>
      <c r="L148" s="715"/>
      <c r="M148" s="709"/>
      <c r="N148" s="709"/>
      <c r="O148" s="710"/>
      <c r="P148" s="709"/>
      <c r="Q148" s="709"/>
      <c r="R148" s="709"/>
      <c r="S148" s="709"/>
      <c r="T148" s="716"/>
      <c r="U148" s="711"/>
      <c r="V148" s="711"/>
      <c r="W148" s="711"/>
      <c r="X148" s="711"/>
      <c r="Y148" s="711"/>
      <c r="Z148" s="711"/>
      <c r="AA148" s="711"/>
      <c r="AB148" s="711"/>
      <c r="AC148" s="711"/>
      <c r="AD148" s="711"/>
      <c r="AE148" s="711"/>
      <c r="AF148" s="717"/>
      <c r="AG148" s="578"/>
      <c r="AH148" s="578"/>
      <c r="AI148" s="578"/>
      <c r="AJ148" s="578"/>
      <c r="AK148" s="578"/>
      <c r="AL148" s="718"/>
      <c r="AM148" s="719"/>
      <c r="AN148" s="720"/>
      <c r="AO148" s="720"/>
      <c r="AP148" s="718"/>
      <c r="AQ148" s="582"/>
      <c r="AR148" s="720"/>
      <c r="AS148" s="720"/>
      <c r="AT148" s="720"/>
      <c r="AU148" s="720"/>
      <c r="AV148" s="720"/>
      <c r="AW148" s="720"/>
      <c r="AX148" s="720"/>
      <c r="AY148" s="720"/>
      <c r="AZ148" s="720"/>
      <c r="BA148" s="720"/>
      <c r="BB148" s="720"/>
      <c r="BC148" s="720"/>
      <c r="BD148" s="720"/>
      <c r="BE148" s="720"/>
      <c r="BF148" s="720"/>
      <c r="BG148" s="720"/>
      <c r="BH148" s="720"/>
      <c r="BI148" s="720"/>
      <c r="BJ148" s="720"/>
      <c r="BK148" s="720"/>
      <c r="BL148" s="720"/>
      <c r="BM148" s="720"/>
      <c r="BN148" s="720"/>
      <c r="BO148" s="720"/>
      <c r="BP148" s="720"/>
      <c r="BQ148" s="720"/>
      <c r="BR148" s="720"/>
      <c r="BS148" s="720"/>
      <c r="BT148" s="720"/>
      <c r="BU148" s="720"/>
      <c r="BV148" s="720"/>
      <c r="BW148" s="720"/>
      <c r="BX148" s="720"/>
      <c r="BY148" s="720"/>
      <c r="BZ148" s="720"/>
      <c r="CA148" s="720"/>
      <c r="CB148" s="720"/>
      <c r="CC148" s="720"/>
      <c r="CD148" s="720"/>
      <c r="CE148" s="720"/>
      <c r="CF148" s="720"/>
      <c r="CG148" s="720"/>
      <c r="CH148" s="720"/>
      <c r="CI148" s="720"/>
      <c r="CJ148" s="720"/>
      <c r="CK148" s="720"/>
      <c r="CL148" s="720"/>
      <c r="CM148" s="720"/>
      <c r="CN148" s="720"/>
      <c r="CO148" s="720"/>
      <c r="CP148" s="720"/>
      <c r="CQ148" s="720"/>
      <c r="CR148" s="720"/>
      <c r="CS148" s="720"/>
      <c r="CT148" s="720"/>
      <c r="CU148" s="720"/>
      <c r="CV148" s="720"/>
      <c r="CW148" s="720"/>
      <c r="CX148" s="720"/>
      <c r="CY148" s="720"/>
      <c r="CZ148" s="720"/>
      <c r="DA148" s="720"/>
      <c r="DB148" s="720"/>
      <c r="DC148" s="720"/>
      <c r="DD148" s="720"/>
      <c r="DE148" s="720"/>
      <c r="DF148" s="720"/>
      <c r="DG148" s="720"/>
      <c r="DH148" s="720"/>
      <c r="DI148" s="720"/>
      <c r="DJ148" s="720"/>
      <c r="DK148" s="720"/>
      <c r="DL148" s="720"/>
      <c r="DM148" s="720"/>
      <c r="DN148" s="720"/>
      <c r="DO148" s="720"/>
      <c r="DP148" s="720"/>
      <c r="DQ148" s="720"/>
      <c r="DR148" s="720"/>
      <c r="DS148" s="720"/>
      <c r="DT148" s="720"/>
      <c r="DU148" s="720"/>
      <c r="DV148" s="720"/>
      <c r="DW148" s="720"/>
      <c r="DX148" s="720"/>
      <c r="DY148" s="720"/>
      <c r="DZ148" s="720"/>
      <c r="EA148" s="720"/>
      <c r="EB148" s="720"/>
      <c r="EC148" s="720"/>
      <c r="ED148" s="720"/>
      <c r="EE148" s="720"/>
      <c r="EF148" s="720"/>
      <c r="EG148" s="720"/>
      <c r="EH148" s="720"/>
      <c r="EI148" s="720"/>
      <c r="EJ148" s="720"/>
    </row>
    <row r="149" spans="1:140" ht="15">
      <c r="A149" s="775"/>
      <c r="B149" s="775"/>
      <c r="C149" s="775"/>
      <c r="D149" s="600"/>
      <c r="E149" s="775"/>
      <c r="F149" s="583"/>
      <c r="I149" s="586"/>
      <c r="J149" s="615"/>
      <c r="K149" s="606"/>
      <c r="L149" s="607">
        <f>State_Detail!G22</f>
        <v>189000</v>
      </c>
      <c r="M149" s="625">
        <f>J149*BudgetYears</f>
        <v>0</v>
      </c>
      <c r="N149" s="590">
        <f>(M149)-(L149*3)</f>
        <v>-567000</v>
      </c>
      <c r="O149" s="591" t="s">
        <v>107</v>
      </c>
      <c r="P149" s="590">
        <f>IF($O149="S/L or L",$M149,0)</f>
        <v>0</v>
      </c>
      <c r="Q149" s="590">
        <f>IF($O149="L",$M149,0)</f>
        <v>0</v>
      </c>
      <c r="R149" s="590">
        <f>IF($O149="S",$M149,0)</f>
        <v>0</v>
      </c>
      <c r="S149" s="590">
        <f>IF($O149="F",$M149,0)</f>
        <v>0</v>
      </c>
      <c r="T149" s="625">
        <f>SUM(P149:S149)</f>
        <v>0</v>
      </c>
      <c r="U149" s="592" t="s">
        <v>25</v>
      </c>
      <c r="V149" s="590">
        <f>IF($O149="S/L or L",$J149,0)</f>
        <v>0</v>
      </c>
      <c r="W149" s="590">
        <f>IF($O149="L",$J149,0)</f>
        <v>0</v>
      </c>
      <c r="X149" s="590">
        <f>IF($O149="S",$J149,0)</f>
        <v>0</v>
      </c>
      <c r="Y149" s="590">
        <f>IF($O149="F",$J149,0)</f>
        <v>0</v>
      </c>
      <c r="Z149" s="593">
        <f>SUM(V149:Y149)</f>
        <v>0</v>
      </c>
      <c r="AA149" s="590">
        <f>IF($O149="S/L or L",$L149,0)</f>
        <v>0</v>
      </c>
      <c r="AB149" s="590">
        <f>IF($O149="L",$L149,0)</f>
        <v>0</v>
      </c>
      <c r="AC149" s="590">
        <f>IF($O149="S",$L149,0)</f>
        <v>189000</v>
      </c>
      <c r="AD149" s="590">
        <f>IF($O149="F",$L149,0)</f>
        <v>0</v>
      </c>
      <c r="AE149" s="593">
        <f>SUM(AA149:AD149)</f>
        <v>189000</v>
      </c>
      <c r="AF149" s="717"/>
      <c r="AG149" s="578"/>
      <c r="AH149" s="578"/>
      <c r="AI149" s="578"/>
      <c r="AJ149" s="578"/>
      <c r="AK149" s="578"/>
      <c r="AL149" s="718"/>
      <c r="AM149" s="719"/>
      <c r="AN149" s="720"/>
      <c r="AO149" s="720"/>
      <c r="AP149" s="718"/>
      <c r="AQ149" s="582"/>
      <c r="AR149" s="720"/>
      <c r="AS149" s="720"/>
      <c r="AT149" s="720"/>
      <c r="AU149" s="720"/>
      <c r="AV149" s="720"/>
      <c r="AW149" s="720"/>
      <c r="AX149" s="720"/>
      <c r="AY149" s="720"/>
      <c r="AZ149" s="720"/>
      <c r="BA149" s="720"/>
      <c r="BB149" s="720"/>
      <c r="BC149" s="720"/>
      <c r="BD149" s="720"/>
      <c r="BE149" s="720"/>
      <c r="BF149" s="720"/>
      <c r="BG149" s="720"/>
      <c r="BH149" s="720"/>
      <c r="BI149" s="720"/>
      <c r="BJ149" s="720"/>
      <c r="BK149" s="720"/>
      <c r="BL149" s="720"/>
      <c r="BM149" s="720"/>
      <c r="BN149" s="720"/>
      <c r="BO149" s="720"/>
      <c r="BP149" s="720"/>
      <c r="BQ149" s="720"/>
      <c r="BR149" s="720"/>
      <c r="BS149" s="720"/>
      <c r="BT149" s="720"/>
      <c r="BU149" s="720"/>
      <c r="BV149" s="720"/>
      <c r="BW149" s="720"/>
      <c r="BX149" s="720"/>
      <c r="BY149" s="720"/>
      <c r="BZ149" s="720"/>
      <c r="CA149" s="720"/>
      <c r="CB149" s="720"/>
      <c r="CC149" s="720"/>
      <c r="CD149" s="720"/>
      <c r="CE149" s="720"/>
      <c r="CF149" s="720"/>
      <c r="CG149" s="720"/>
      <c r="CH149" s="720"/>
      <c r="CI149" s="720"/>
      <c r="CJ149" s="720"/>
      <c r="CK149" s="720"/>
      <c r="CL149" s="720"/>
      <c r="CM149" s="720"/>
      <c r="CN149" s="720"/>
      <c r="CO149" s="720"/>
      <c r="CP149" s="720"/>
      <c r="CQ149" s="720"/>
      <c r="CR149" s="720"/>
      <c r="CS149" s="720"/>
      <c r="CT149" s="720"/>
      <c r="CU149" s="720"/>
      <c r="CV149" s="720"/>
      <c r="CW149" s="720"/>
      <c r="CX149" s="720"/>
      <c r="CY149" s="720"/>
      <c r="CZ149" s="720"/>
      <c r="DA149" s="720"/>
      <c r="DB149" s="720"/>
      <c r="DC149" s="720"/>
      <c r="DD149" s="720"/>
      <c r="DE149" s="720"/>
      <c r="DF149" s="720"/>
      <c r="DG149" s="720"/>
      <c r="DH149" s="720"/>
      <c r="DI149" s="720"/>
      <c r="DJ149" s="720"/>
      <c r="DK149" s="720"/>
      <c r="DL149" s="720"/>
      <c r="DM149" s="720"/>
      <c r="DN149" s="720"/>
      <c r="DO149" s="720"/>
      <c r="DP149" s="720"/>
      <c r="DQ149" s="720"/>
      <c r="DR149" s="720"/>
      <c r="DS149" s="720"/>
      <c r="DT149" s="720"/>
      <c r="DU149" s="720"/>
      <c r="DV149" s="720"/>
      <c r="DW149" s="720"/>
      <c r="DX149" s="720"/>
      <c r="DY149" s="720"/>
      <c r="DZ149" s="720"/>
      <c r="EA149" s="720"/>
      <c r="EB149" s="720"/>
      <c r="EC149" s="720"/>
      <c r="ED149" s="720"/>
      <c r="EE149" s="720"/>
      <c r="EF149" s="720"/>
      <c r="EG149" s="720"/>
      <c r="EH149" s="720"/>
      <c r="EI149" s="720"/>
      <c r="EJ149" s="720"/>
    </row>
    <row r="150" spans="1:140" s="662" customFormat="1" ht="15">
      <c r="A150" s="600" t="s">
        <v>25</v>
      </c>
      <c r="B150" s="600"/>
      <c r="C150" s="600"/>
      <c r="D150" s="600"/>
      <c r="E150" s="600"/>
      <c r="F150" s="721"/>
      <c r="G150" s="570"/>
      <c r="H150" s="571"/>
      <c r="I150" s="572"/>
      <c r="J150" s="722"/>
      <c r="K150" s="573"/>
      <c r="L150" s="723"/>
      <c r="M150" s="625"/>
      <c r="N150" s="625"/>
      <c r="O150" s="575"/>
      <c r="P150" s="625"/>
      <c r="Q150" s="625"/>
      <c r="R150" s="625"/>
      <c r="S150" s="625"/>
      <c r="T150" s="625"/>
      <c r="U150" s="593"/>
      <c r="V150" s="593"/>
      <c r="W150" s="593"/>
      <c r="X150" s="593"/>
      <c r="Y150" s="593"/>
      <c r="Z150" s="593"/>
      <c r="AA150" s="593"/>
      <c r="AB150" s="593"/>
      <c r="AC150" s="593"/>
      <c r="AD150" s="593"/>
      <c r="AE150" s="593"/>
      <c r="AF150" s="724"/>
      <c r="AG150" s="578"/>
      <c r="AH150" s="578"/>
      <c r="AI150" s="578"/>
      <c r="AJ150" s="578"/>
      <c r="AK150" s="578"/>
      <c r="AL150" s="579"/>
      <c r="AM150" s="580"/>
      <c r="AN150" s="581"/>
      <c r="AO150" s="581"/>
      <c r="AP150" s="579"/>
      <c r="AQ150" s="582"/>
      <c r="AR150" s="581"/>
      <c r="AS150" s="581"/>
      <c r="AT150" s="581"/>
      <c r="AU150" s="581"/>
      <c r="AV150" s="581"/>
      <c r="AW150" s="581"/>
      <c r="AX150" s="581"/>
      <c r="AY150" s="581"/>
      <c r="AZ150" s="581"/>
      <c r="BA150" s="581"/>
      <c r="BB150" s="581"/>
      <c r="BC150" s="581"/>
      <c r="BD150" s="581"/>
      <c r="BE150" s="581"/>
      <c r="BF150" s="581"/>
      <c r="BG150" s="581"/>
      <c r="BH150" s="581"/>
      <c r="BI150" s="581"/>
      <c r="BJ150" s="581"/>
      <c r="BK150" s="581"/>
      <c r="BL150" s="581"/>
      <c r="BM150" s="581"/>
      <c r="BN150" s="581"/>
      <c r="BO150" s="581"/>
      <c r="BP150" s="581"/>
      <c r="BQ150" s="581"/>
      <c r="BR150" s="581"/>
      <c r="BS150" s="581"/>
      <c r="BT150" s="581"/>
      <c r="BU150" s="581"/>
      <c r="BV150" s="581"/>
      <c r="BW150" s="581"/>
      <c r="BX150" s="581"/>
      <c r="BY150" s="581"/>
      <c r="BZ150" s="581"/>
      <c r="CA150" s="581"/>
      <c r="CB150" s="581"/>
      <c r="CC150" s="581"/>
      <c r="CD150" s="581"/>
      <c r="CE150" s="581"/>
      <c r="CF150" s="581"/>
      <c r="CG150" s="581"/>
      <c r="CH150" s="581"/>
      <c r="CI150" s="581"/>
      <c r="CJ150" s="581"/>
      <c r="CK150" s="581"/>
      <c r="CL150" s="581"/>
      <c r="CM150" s="581"/>
      <c r="CN150" s="581"/>
      <c r="CO150" s="581"/>
      <c r="CP150" s="581"/>
      <c r="CQ150" s="581"/>
      <c r="CR150" s="581"/>
      <c r="CS150" s="581"/>
      <c r="CT150" s="581"/>
      <c r="CU150" s="581"/>
      <c r="CV150" s="581"/>
      <c r="CW150" s="581"/>
      <c r="CX150" s="581"/>
      <c r="CY150" s="581"/>
      <c r="CZ150" s="581"/>
      <c r="DA150" s="581"/>
      <c r="DB150" s="581"/>
      <c r="DC150" s="581"/>
      <c r="DD150" s="581"/>
      <c r="DE150" s="581"/>
      <c r="DF150" s="581"/>
      <c r="DG150" s="581"/>
      <c r="DH150" s="581"/>
      <c r="DI150" s="581"/>
      <c r="DJ150" s="581"/>
      <c r="DK150" s="581"/>
      <c r="DL150" s="581"/>
      <c r="DM150" s="581"/>
      <c r="DN150" s="581"/>
      <c r="DO150" s="581"/>
      <c r="DP150" s="581"/>
      <c r="DQ150" s="581"/>
      <c r="DR150" s="581"/>
      <c r="DS150" s="581"/>
      <c r="DT150" s="581"/>
      <c r="DU150" s="581"/>
      <c r="DV150" s="581"/>
      <c r="DW150" s="581"/>
      <c r="DX150" s="581"/>
      <c r="DY150" s="581"/>
      <c r="DZ150" s="581"/>
      <c r="EA150" s="581"/>
      <c r="EB150" s="581"/>
      <c r="EC150" s="581"/>
      <c r="ED150" s="581"/>
      <c r="EE150" s="581"/>
      <c r="EF150" s="581"/>
      <c r="EG150" s="581"/>
      <c r="EH150" s="581"/>
      <c r="EI150" s="581"/>
      <c r="EJ150" s="581"/>
    </row>
    <row r="151" spans="1:140" s="662" customFormat="1" ht="61.5">
      <c r="A151" s="702" t="s">
        <v>925</v>
      </c>
      <c r="B151" s="702"/>
      <c r="C151" s="702"/>
      <c r="D151" s="702"/>
      <c r="E151" s="702"/>
      <c r="F151" s="703" t="s">
        <v>25</v>
      </c>
      <c r="G151" s="704"/>
      <c r="H151" s="726"/>
      <c r="I151" s="727"/>
      <c r="J151" s="728">
        <v>1400000</v>
      </c>
      <c r="K151" s="703"/>
      <c r="L151" s="729"/>
      <c r="M151" s="703" t="s">
        <v>25</v>
      </c>
      <c r="N151" s="703"/>
      <c r="O151" s="703" t="s">
        <v>25</v>
      </c>
      <c r="P151" s="703" t="s">
        <v>25</v>
      </c>
      <c r="Q151" s="703"/>
      <c r="R151" s="703"/>
      <c r="S151" s="703"/>
      <c r="T151" s="730"/>
      <c r="U151" s="731" t="s">
        <v>25</v>
      </c>
      <c r="V151" s="731"/>
      <c r="W151" s="731"/>
      <c r="X151" s="731"/>
      <c r="Y151" s="731"/>
      <c r="Z151" s="731"/>
      <c r="AA151" s="731"/>
      <c r="AB151" s="731"/>
      <c r="AC151" s="731"/>
      <c r="AD151" s="731"/>
      <c r="AE151" s="731"/>
      <c r="AF151" s="594"/>
      <c r="AG151" s="578"/>
      <c r="AH151" s="578"/>
      <c r="AI151" s="578"/>
      <c r="AJ151" s="578"/>
      <c r="AK151" s="578"/>
      <c r="AL151" s="579"/>
      <c r="AM151" s="580"/>
      <c r="AN151" s="581"/>
      <c r="AO151" s="581"/>
      <c r="AP151" s="579"/>
      <c r="AQ151" s="582"/>
      <c r="AR151" s="581"/>
      <c r="AS151" s="581"/>
      <c r="AT151" s="581"/>
      <c r="AU151" s="581"/>
      <c r="AV151" s="581"/>
      <c r="AW151" s="581"/>
      <c r="AX151" s="581"/>
      <c r="AY151" s="581"/>
      <c r="AZ151" s="581"/>
      <c r="BA151" s="581"/>
      <c r="BB151" s="581"/>
      <c r="BC151" s="581"/>
      <c r="BD151" s="581"/>
      <c r="BE151" s="581"/>
      <c r="BF151" s="581"/>
      <c r="BG151" s="581"/>
      <c r="BH151" s="581"/>
      <c r="BI151" s="581"/>
      <c r="BJ151" s="581"/>
      <c r="BK151" s="581"/>
      <c r="BL151" s="581"/>
      <c r="BM151" s="581"/>
      <c r="BN151" s="581"/>
      <c r="BO151" s="581"/>
      <c r="BP151" s="581"/>
      <c r="BQ151" s="581"/>
      <c r="BR151" s="581"/>
      <c r="BS151" s="581"/>
      <c r="BT151" s="581"/>
      <c r="BU151" s="581"/>
      <c r="BV151" s="581"/>
      <c r="BW151" s="581"/>
      <c r="BX151" s="581"/>
      <c r="BY151" s="581"/>
      <c r="BZ151" s="581"/>
      <c r="CA151" s="581"/>
      <c r="CB151" s="581"/>
      <c r="CC151" s="581"/>
      <c r="CD151" s="581"/>
      <c r="CE151" s="581"/>
      <c r="CF151" s="581"/>
      <c r="CG151" s="581"/>
      <c r="CH151" s="581"/>
      <c r="CI151" s="581"/>
      <c r="CJ151" s="581"/>
      <c r="CK151" s="581"/>
      <c r="CL151" s="581"/>
      <c r="CM151" s="581"/>
      <c r="CN151" s="581"/>
      <c r="CO151" s="581"/>
      <c r="CP151" s="581"/>
      <c r="CQ151" s="581"/>
      <c r="CR151" s="581"/>
      <c r="CS151" s="581"/>
      <c r="CT151" s="581"/>
      <c r="CU151" s="581"/>
      <c r="CV151" s="581"/>
      <c r="CW151" s="581"/>
      <c r="CX151" s="581"/>
      <c r="CY151" s="581"/>
      <c r="CZ151" s="581"/>
      <c r="DA151" s="581"/>
      <c r="DB151" s="581"/>
      <c r="DC151" s="581"/>
      <c r="DD151" s="581"/>
      <c r="DE151" s="581"/>
      <c r="DF151" s="581"/>
      <c r="DG151" s="581"/>
      <c r="DH151" s="581"/>
      <c r="DI151" s="581"/>
      <c r="DJ151" s="581"/>
      <c r="DK151" s="581"/>
      <c r="DL151" s="581"/>
      <c r="DM151" s="581"/>
      <c r="DN151" s="581"/>
      <c r="DO151" s="581"/>
      <c r="DP151" s="581"/>
      <c r="DQ151" s="581"/>
      <c r="DR151" s="581"/>
      <c r="DS151" s="581"/>
      <c r="DT151" s="581"/>
      <c r="DU151" s="581"/>
      <c r="DV151" s="581"/>
      <c r="DW151" s="581"/>
      <c r="DX151" s="581"/>
      <c r="DY151" s="581"/>
      <c r="DZ151" s="581"/>
      <c r="EA151" s="581"/>
      <c r="EB151" s="581"/>
      <c r="EC151" s="581"/>
      <c r="ED151" s="581"/>
      <c r="EE151" s="581"/>
      <c r="EF151" s="581"/>
      <c r="EG151" s="581"/>
      <c r="EH151" s="581"/>
      <c r="EI151" s="581"/>
      <c r="EJ151" s="581"/>
    </row>
    <row r="152" spans="1:140" s="662" customFormat="1" ht="15">
      <c r="A152" s="732"/>
      <c r="B152" s="732"/>
      <c r="C152" s="732"/>
      <c r="D152" s="732"/>
      <c r="E152" s="732"/>
      <c r="F152" s="721"/>
      <c r="G152" s="570"/>
      <c r="H152" s="733"/>
      <c r="I152" s="734"/>
      <c r="J152" s="734"/>
      <c r="K152" s="721"/>
      <c r="L152" s="735"/>
      <c r="M152" s="721"/>
      <c r="N152" s="721"/>
      <c r="O152" s="721"/>
      <c r="P152" s="721"/>
      <c r="Q152" s="721"/>
      <c r="R152" s="721"/>
      <c r="S152" s="721"/>
      <c r="T152" s="736"/>
      <c r="U152" s="737"/>
      <c r="V152" s="737"/>
      <c r="W152" s="737"/>
      <c r="X152" s="737"/>
      <c r="Y152" s="737"/>
      <c r="Z152" s="737"/>
      <c r="AA152" s="737"/>
      <c r="AB152" s="737"/>
      <c r="AC152" s="737"/>
      <c r="AD152" s="737"/>
      <c r="AE152" s="737"/>
      <c r="AF152" s="594"/>
      <c r="AG152" s="578"/>
      <c r="AH152" s="578"/>
      <c r="AI152" s="578"/>
      <c r="AJ152" s="578"/>
      <c r="AK152" s="578"/>
      <c r="AL152" s="579"/>
      <c r="AM152" s="580"/>
      <c r="AN152" s="581"/>
      <c r="AO152" s="581"/>
      <c r="AP152" s="579"/>
      <c r="AQ152" s="582"/>
      <c r="AR152" s="581"/>
      <c r="AS152" s="581"/>
      <c r="AT152" s="581"/>
      <c r="AU152" s="581"/>
      <c r="AV152" s="581"/>
      <c r="AW152" s="581"/>
      <c r="AX152" s="581"/>
      <c r="AY152" s="581"/>
      <c r="AZ152" s="581"/>
      <c r="BA152" s="581"/>
      <c r="BB152" s="581"/>
      <c r="BC152" s="581"/>
      <c r="BD152" s="581"/>
      <c r="BE152" s="581"/>
      <c r="BF152" s="581"/>
      <c r="BG152" s="581"/>
      <c r="BH152" s="581"/>
      <c r="BI152" s="581"/>
      <c r="BJ152" s="581"/>
      <c r="BK152" s="581"/>
      <c r="BL152" s="581"/>
      <c r="BM152" s="581"/>
      <c r="BN152" s="581"/>
      <c r="BO152" s="581"/>
      <c r="BP152" s="581"/>
      <c r="BQ152" s="581"/>
      <c r="BR152" s="581"/>
      <c r="BS152" s="581"/>
      <c r="BT152" s="581"/>
      <c r="BU152" s="581"/>
      <c r="BV152" s="581"/>
      <c r="BW152" s="581"/>
      <c r="BX152" s="581"/>
      <c r="BY152" s="581"/>
      <c r="BZ152" s="581"/>
      <c r="CA152" s="581"/>
      <c r="CB152" s="581"/>
      <c r="CC152" s="581"/>
      <c r="CD152" s="581"/>
      <c r="CE152" s="581"/>
      <c r="CF152" s="581"/>
      <c r="CG152" s="581"/>
      <c r="CH152" s="581"/>
      <c r="CI152" s="581"/>
      <c r="CJ152" s="581"/>
      <c r="CK152" s="581"/>
      <c r="CL152" s="581"/>
      <c r="CM152" s="581"/>
      <c r="CN152" s="581"/>
      <c r="CO152" s="581"/>
      <c r="CP152" s="581"/>
      <c r="CQ152" s="581"/>
      <c r="CR152" s="581"/>
      <c r="CS152" s="581"/>
      <c r="CT152" s="581"/>
      <c r="CU152" s="581"/>
      <c r="CV152" s="581"/>
      <c r="CW152" s="581"/>
      <c r="CX152" s="581"/>
      <c r="CY152" s="581"/>
      <c r="CZ152" s="581"/>
      <c r="DA152" s="581"/>
      <c r="DB152" s="581"/>
      <c r="DC152" s="581"/>
      <c r="DD152" s="581"/>
      <c r="DE152" s="581"/>
      <c r="DF152" s="581"/>
      <c r="DG152" s="581"/>
      <c r="DH152" s="581"/>
      <c r="DI152" s="581"/>
      <c r="DJ152" s="581"/>
      <c r="DK152" s="581"/>
      <c r="DL152" s="581"/>
      <c r="DM152" s="581"/>
      <c r="DN152" s="581"/>
      <c r="DO152" s="581"/>
      <c r="DP152" s="581"/>
      <c r="DQ152" s="581"/>
      <c r="DR152" s="581"/>
      <c r="DS152" s="581"/>
      <c r="DT152" s="581"/>
      <c r="DU152" s="581"/>
      <c r="DV152" s="581"/>
      <c r="DW152" s="581"/>
      <c r="DX152" s="581"/>
      <c r="DY152" s="581"/>
      <c r="DZ152" s="581"/>
      <c r="EA152" s="581"/>
      <c r="EB152" s="581"/>
      <c r="EC152" s="581"/>
      <c r="ED152" s="581"/>
      <c r="EE152" s="581"/>
      <c r="EF152" s="581"/>
      <c r="EG152" s="581"/>
      <c r="EH152" s="581"/>
      <c r="EI152" s="581"/>
      <c r="EJ152" s="581"/>
    </row>
    <row r="153" spans="1:140" s="662" customFormat="1" ht="46.5">
      <c r="A153" s="702" t="s">
        <v>926</v>
      </c>
      <c r="B153" s="732"/>
      <c r="C153" s="732"/>
      <c r="D153" s="732"/>
      <c r="E153" s="732"/>
      <c r="F153" s="583"/>
      <c r="G153" s="584"/>
      <c r="H153" s="605"/>
      <c r="I153" s="586"/>
      <c r="J153" s="615">
        <v>1700000</v>
      </c>
      <c r="K153" s="606"/>
      <c r="L153" s="607">
        <f>State_Detail!G31</f>
        <v>1922141.0249999994</v>
      </c>
      <c r="M153" s="625">
        <f>J153*BudgetYears</f>
        <v>10200000</v>
      </c>
      <c r="N153" s="590">
        <f>(M153)-(L153*3)</f>
        <v>4433576.925000002</v>
      </c>
      <c r="O153" s="591" t="s">
        <v>107</v>
      </c>
      <c r="P153" s="590">
        <f>IF($O153="S/L or L",$M153,0)</f>
        <v>0</v>
      </c>
      <c r="Q153" s="590">
        <f>IF($O153="L",$M153,0)</f>
        <v>0</v>
      </c>
      <c r="R153" s="590">
        <f>IF($O153="S",$M153,0)</f>
        <v>10200000</v>
      </c>
      <c r="S153" s="590">
        <f>IF($O153="F",$M153,0)</f>
        <v>0</v>
      </c>
      <c r="T153" s="625">
        <f>SUM(P153:S153)</f>
        <v>10200000</v>
      </c>
      <c r="U153" s="592" t="s">
        <v>25</v>
      </c>
      <c r="V153" s="590">
        <f>IF($O153="S/L or L",$J153,0)</f>
        <v>0</v>
      </c>
      <c r="W153" s="590">
        <f>IF($O153="L",$J153,0)</f>
        <v>0</v>
      </c>
      <c r="X153" s="590">
        <f>IF($O153="S",$J153,0)</f>
        <v>1700000</v>
      </c>
      <c r="Y153" s="590">
        <f>IF($O153="F",$J153,0)</f>
        <v>0</v>
      </c>
      <c r="Z153" s="593">
        <f>SUM(V153:Y153)</f>
        <v>1700000</v>
      </c>
      <c r="AA153" s="590">
        <f>IF($O153="S/L or L",$L153,0)</f>
        <v>0</v>
      </c>
      <c r="AB153" s="590">
        <f>IF($O153="L",$L153,0)</f>
        <v>0</v>
      </c>
      <c r="AC153" s="590">
        <f>IF($O153="S",$L153,0)</f>
        <v>1922141.0249999994</v>
      </c>
      <c r="AD153" s="590">
        <f>IF($O153="F",$L153,0)</f>
        <v>0</v>
      </c>
      <c r="AE153" s="593">
        <f>SUM(AA153:AD153)</f>
        <v>1922141.0249999994</v>
      </c>
      <c r="AF153" s="543"/>
      <c r="AG153" s="837"/>
      <c r="AH153" s="837"/>
      <c r="AI153" s="837"/>
      <c r="AJ153" s="837"/>
      <c r="AK153" s="837"/>
      <c r="AL153" s="818"/>
      <c r="AM153" s="816"/>
      <c r="AN153" s="817"/>
      <c r="AO153" s="817"/>
      <c r="AP153" s="818"/>
      <c r="AQ153" s="838"/>
      <c r="AR153" s="817"/>
      <c r="AS153" s="817"/>
      <c r="AT153" s="817"/>
      <c r="AU153" s="817"/>
      <c r="AV153" s="817"/>
      <c r="AW153" s="817"/>
      <c r="AX153" s="817"/>
      <c r="AY153" s="817"/>
      <c r="AZ153" s="817"/>
      <c r="BA153" s="817"/>
      <c r="BB153" s="817"/>
      <c r="BC153" s="817"/>
      <c r="BD153" s="817"/>
      <c r="BE153" s="817"/>
      <c r="BF153" s="817"/>
      <c r="BG153" s="817"/>
      <c r="BH153" s="817"/>
      <c r="BI153" s="817"/>
      <c r="BJ153" s="817"/>
      <c r="BK153" s="817"/>
      <c r="BL153" s="817"/>
      <c r="BM153" s="817"/>
      <c r="BN153" s="817"/>
      <c r="BO153" s="817"/>
      <c r="BP153" s="817"/>
      <c r="BQ153" s="817"/>
      <c r="BR153" s="817"/>
      <c r="BS153" s="817"/>
      <c r="BT153" s="817"/>
      <c r="BU153" s="817"/>
      <c r="BV153" s="817"/>
      <c r="BW153" s="817"/>
      <c r="BX153" s="817"/>
      <c r="BY153" s="817"/>
      <c r="BZ153" s="817"/>
      <c r="CA153" s="817"/>
      <c r="CB153" s="817"/>
      <c r="CC153" s="817"/>
      <c r="CD153" s="817"/>
      <c r="CE153" s="817"/>
      <c r="CF153" s="817"/>
      <c r="CG153" s="817"/>
      <c r="CH153" s="817"/>
      <c r="CI153" s="817"/>
      <c r="CJ153" s="817"/>
      <c r="CK153" s="817"/>
      <c r="CL153" s="817"/>
      <c r="CM153" s="817"/>
      <c r="CN153" s="817"/>
      <c r="CO153" s="817"/>
      <c r="CP153" s="817"/>
      <c r="CQ153" s="817"/>
      <c r="CR153" s="817"/>
      <c r="CS153" s="817"/>
      <c r="CT153" s="817"/>
      <c r="CU153" s="817"/>
      <c r="CV153" s="817"/>
      <c r="CW153" s="817"/>
      <c r="CX153" s="817"/>
      <c r="CY153" s="817"/>
      <c r="CZ153" s="817"/>
      <c r="DA153" s="817"/>
      <c r="DB153" s="817"/>
      <c r="DC153" s="817"/>
      <c r="DD153" s="817"/>
      <c r="DE153" s="817"/>
      <c r="DF153" s="817"/>
      <c r="DG153" s="817"/>
      <c r="DH153" s="817"/>
      <c r="DI153" s="817"/>
      <c r="DJ153" s="817"/>
      <c r="DK153" s="817"/>
      <c r="DL153" s="817"/>
      <c r="DM153" s="817"/>
      <c r="DN153" s="817"/>
      <c r="DO153" s="817"/>
      <c r="DP153" s="817"/>
      <c r="DQ153" s="817"/>
      <c r="DR153" s="817"/>
      <c r="DS153" s="817"/>
      <c r="DT153" s="817"/>
      <c r="DU153" s="817"/>
      <c r="DV153" s="817"/>
      <c r="DW153" s="817"/>
      <c r="DX153" s="817"/>
      <c r="DY153" s="817"/>
      <c r="DZ153" s="817"/>
      <c r="EA153" s="817"/>
      <c r="EB153" s="817"/>
      <c r="EC153" s="817"/>
      <c r="ED153" s="817"/>
      <c r="EE153" s="817"/>
      <c r="EF153" s="817"/>
      <c r="EG153" s="817"/>
      <c r="EH153" s="817"/>
      <c r="EI153" s="817"/>
      <c r="EJ153" s="817"/>
    </row>
    <row r="154" spans="1:140" s="603" customFormat="1" ht="15">
      <c r="A154" s="600"/>
      <c r="B154" s="600"/>
      <c r="C154" s="600"/>
      <c r="D154" s="600"/>
      <c r="E154" s="600"/>
      <c r="F154" s="601"/>
      <c r="G154" s="602"/>
      <c r="J154" s="601"/>
      <c r="K154" s="591"/>
      <c r="L154" s="607"/>
      <c r="M154" s="590"/>
      <c r="N154" s="590"/>
      <c r="O154" s="591"/>
      <c r="P154" s="590"/>
      <c r="Q154" s="590"/>
      <c r="R154" s="590"/>
      <c r="S154" s="590"/>
      <c r="T154" s="590"/>
      <c r="U154" s="592"/>
      <c r="V154" s="590"/>
      <c r="W154" s="590"/>
      <c r="X154" s="590"/>
      <c r="Y154" s="590"/>
      <c r="Z154" s="592"/>
      <c r="AA154" s="590"/>
      <c r="AB154" s="590"/>
      <c r="AC154" s="590"/>
      <c r="AD154" s="590"/>
      <c r="AE154" s="592"/>
      <c r="AF154" s="599"/>
      <c r="AG154" s="758"/>
      <c r="AH154" s="758"/>
      <c r="AI154" s="758"/>
      <c r="AJ154" s="758"/>
      <c r="AK154" s="758"/>
      <c r="AL154" s="734"/>
      <c r="AM154" s="800"/>
      <c r="AN154" s="569"/>
      <c r="AO154" s="569"/>
      <c r="AP154" s="734"/>
      <c r="AQ154" s="575"/>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row>
    <row r="155" spans="1:140" s="725" customFormat="1" ht="15">
      <c r="A155" s="700"/>
      <c r="B155" s="700"/>
      <c r="C155" s="700"/>
      <c r="D155" s="758"/>
      <c r="E155" s="700"/>
      <c r="F155" s="738"/>
      <c r="G155" s="570"/>
      <c r="H155" s="739"/>
      <c r="I155" s="586"/>
      <c r="J155" s="615"/>
      <c r="K155" s="575"/>
      <c r="L155" s="607"/>
      <c r="M155" s="625"/>
      <c r="N155" s="590"/>
      <c r="O155" s="575"/>
      <c r="P155" s="590">
        <f>IF($O155="S/L or L",$M155,0)</f>
        <v>0</v>
      </c>
      <c r="Q155" s="590">
        <f>IF($O155="L",$M155,0)</f>
        <v>0</v>
      </c>
      <c r="R155" s="590">
        <f>IF($O155="S",$M155,0)</f>
        <v>0</v>
      </c>
      <c r="S155" s="590">
        <f>IF($O155="F",$M155,0)</f>
        <v>0</v>
      </c>
      <c r="T155" s="625">
        <f>SUM(P155:S155)</f>
        <v>0</v>
      </c>
      <c r="U155" s="592">
        <v>837220</v>
      </c>
      <c r="V155" s="590">
        <f>IF($O155="S/L or L",$J155,0)</f>
        <v>0</v>
      </c>
      <c r="W155" s="590">
        <f>IF($O155="L",$J155,0)</f>
        <v>0</v>
      </c>
      <c r="X155" s="590">
        <f>IF($O155="S",$J155,0)</f>
        <v>0</v>
      </c>
      <c r="Y155" s="590">
        <f>IF($O155="F",$J155,0)</f>
        <v>0</v>
      </c>
      <c r="Z155" s="593">
        <f>SUM(V155:Y155)</f>
        <v>0</v>
      </c>
      <c r="AA155" s="590">
        <f>IF($O155="S/L or L",$L155,0)</f>
        <v>0</v>
      </c>
      <c r="AB155" s="590">
        <f>IF($O155="L",$L155,0)</f>
        <v>0</v>
      </c>
      <c r="AC155" s="590">
        <f>IF($O155="S",$L155,0)</f>
        <v>0</v>
      </c>
      <c r="AD155" s="590">
        <f>IF($O155="F",$L155,0)</f>
        <v>0</v>
      </c>
      <c r="AE155" s="593">
        <f>SUM(AA155:AD155)</f>
        <v>0</v>
      </c>
      <c r="AF155" s="577"/>
      <c r="AG155" s="578"/>
      <c r="AH155" s="578"/>
      <c r="AI155" s="578"/>
      <c r="AJ155" s="578"/>
      <c r="AK155" s="578"/>
      <c r="AL155" s="579"/>
      <c r="AM155" s="580"/>
      <c r="AN155" s="581"/>
      <c r="AO155" s="581"/>
      <c r="AP155" s="579"/>
      <c r="AQ155" s="582"/>
      <c r="AR155" s="581"/>
      <c r="AS155" s="581"/>
      <c r="AT155" s="581"/>
      <c r="AU155" s="581"/>
      <c r="AV155" s="581"/>
      <c r="AW155" s="581"/>
      <c r="AX155" s="581"/>
      <c r="AY155" s="581"/>
      <c r="AZ155" s="581"/>
      <c r="BA155" s="581"/>
      <c r="BB155" s="581"/>
      <c r="BC155" s="581"/>
      <c r="BD155" s="581"/>
      <c r="BE155" s="581"/>
      <c r="BF155" s="581"/>
      <c r="BG155" s="581"/>
      <c r="BH155" s="581"/>
      <c r="BI155" s="581"/>
      <c r="BJ155" s="581"/>
      <c r="BK155" s="581"/>
      <c r="BL155" s="581"/>
      <c r="BM155" s="581"/>
      <c r="BN155" s="581"/>
      <c r="BO155" s="581"/>
      <c r="BP155" s="581"/>
      <c r="BQ155" s="581"/>
      <c r="BR155" s="581"/>
      <c r="BS155" s="581"/>
      <c r="BT155" s="581"/>
      <c r="BU155" s="581"/>
      <c r="BV155" s="581"/>
      <c r="BW155" s="581"/>
      <c r="BX155" s="581"/>
      <c r="BY155" s="581"/>
      <c r="BZ155" s="581"/>
      <c r="CA155" s="581"/>
      <c r="CB155" s="581"/>
      <c r="CC155" s="581"/>
      <c r="CD155" s="581"/>
      <c r="CE155" s="581"/>
      <c r="CF155" s="581"/>
      <c r="CG155" s="581"/>
      <c r="CH155" s="581"/>
      <c r="CI155" s="581"/>
      <c r="CJ155" s="581"/>
      <c r="CK155" s="581"/>
      <c r="CL155" s="581"/>
      <c r="CM155" s="581"/>
      <c r="CN155" s="581"/>
      <c r="CO155" s="581"/>
      <c r="CP155" s="581"/>
      <c r="CQ155" s="581"/>
      <c r="CR155" s="581"/>
      <c r="CS155" s="581"/>
      <c r="CT155" s="581"/>
      <c r="CU155" s="581"/>
      <c r="CV155" s="581"/>
      <c r="CW155" s="581"/>
      <c r="CX155" s="581"/>
      <c r="CY155" s="581"/>
      <c r="CZ155" s="581"/>
      <c r="DA155" s="581"/>
      <c r="DB155" s="581"/>
      <c r="DC155" s="581"/>
      <c r="DD155" s="581"/>
      <c r="DE155" s="581"/>
      <c r="DF155" s="581"/>
      <c r="DG155" s="581"/>
      <c r="DH155" s="581"/>
      <c r="DI155" s="581"/>
      <c r="DJ155" s="581"/>
      <c r="DK155" s="581"/>
      <c r="DL155" s="581"/>
      <c r="DM155" s="581"/>
      <c r="DN155" s="581"/>
      <c r="DO155" s="581"/>
      <c r="DP155" s="581"/>
      <c r="DQ155" s="581"/>
      <c r="DR155" s="581"/>
      <c r="DS155" s="581"/>
      <c r="DT155" s="581"/>
      <c r="DU155" s="581"/>
      <c r="DV155" s="581"/>
      <c r="DW155" s="581"/>
      <c r="DX155" s="581"/>
      <c r="DY155" s="581"/>
      <c r="DZ155" s="581"/>
      <c r="EA155" s="581"/>
      <c r="EB155" s="581"/>
      <c r="EC155" s="581"/>
      <c r="ED155" s="581"/>
      <c r="EE155" s="581"/>
      <c r="EF155" s="581"/>
      <c r="EG155" s="581"/>
      <c r="EH155" s="581"/>
      <c r="EI155" s="581"/>
      <c r="EJ155" s="581"/>
    </row>
    <row r="156" spans="1:140" ht="15">
      <c r="A156" s="600"/>
      <c r="B156" s="600"/>
      <c r="C156" s="600"/>
      <c r="D156" s="600"/>
      <c r="E156" s="600"/>
      <c r="F156" s="583"/>
      <c r="I156" s="586"/>
      <c r="J156" s="586"/>
      <c r="K156" s="623"/>
      <c r="L156" s="623"/>
      <c r="M156" s="590"/>
      <c r="N156" s="590"/>
      <c r="O156" s="591"/>
      <c r="P156" s="590"/>
      <c r="Q156" s="590"/>
      <c r="R156" s="590"/>
      <c r="S156" s="590"/>
      <c r="T156" s="590"/>
      <c r="U156" s="592"/>
      <c r="V156" s="592"/>
      <c r="W156" s="592"/>
      <c r="X156" s="592"/>
      <c r="Y156" s="592"/>
      <c r="Z156" s="592"/>
      <c r="AA156" s="592"/>
      <c r="AB156" s="592"/>
      <c r="AC156" s="592"/>
      <c r="AD156" s="592"/>
      <c r="AE156" s="592"/>
      <c r="AF156" s="724"/>
      <c r="AG156" s="578"/>
      <c r="AH156" s="578"/>
      <c r="AI156" s="578"/>
      <c r="AJ156" s="578"/>
      <c r="AK156" s="578"/>
      <c r="AL156" s="579"/>
      <c r="AM156" s="580"/>
      <c r="AN156" s="581"/>
      <c r="AO156" s="581"/>
      <c r="AP156" s="579"/>
      <c r="AQ156" s="582"/>
      <c r="AR156" s="581"/>
      <c r="AS156" s="581"/>
      <c r="AT156" s="581"/>
      <c r="AU156" s="581"/>
      <c r="AV156" s="581"/>
      <c r="AW156" s="581"/>
      <c r="AX156" s="581"/>
      <c r="AY156" s="581"/>
      <c r="AZ156" s="581"/>
      <c r="BA156" s="581"/>
      <c r="BB156" s="581"/>
      <c r="BC156" s="581"/>
      <c r="BD156" s="581"/>
      <c r="BE156" s="581"/>
      <c r="BF156" s="581"/>
      <c r="BG156" s="581"/>
      <c r="BH156" s="581"/>
      <c r="BI156" s="581"/>
      <c r="BJ156" s="581"/>
      <c r="BK156" s="581"/>
      <c r="BL156" s="581"/>
      <c r="BM156" s="581"/>
      <c r="BN156" s="581"/>
      <c r="BO156" s="581"/>
      <c r="BP156" s="581"/>
      <c r="BQ156" s="581"/>
      <c r="BR156" s="581"/>
      <c r="BS156" s="581"/>
      <c r="BT156" s="581"/>
      <c r="BU156" s="581"/>
      <c r="BV156" s="581"/>
      <c r="BW156" s="581"/>
      <c r="BX156" s="581"/>
      <c r="BY156" s="581"/>
      <c r="BZ156" s="581"/>
      <c r="CA156" s="581"/>
      <c r="CB156" s="581"/>
      <c r="CC156" s="581"/>
      <c r="CD156" s="581"/>
      <c r="CE156" s="581"/>
      <c r="CF156" s="581"/>
      <c r="CG156" s="581"/>
      <c r="CH156" s="581"/>
      <c r="CI156" s="581"/>
      <c r="CJ156" s="581"/>
      <c r="CK156" s="581"/>
      <c r="CL156" s="581"/>
      <c r="CM156" s="581"/>
      <c r="CN156" s="581"/>
      <c r="CO156" s="581"/>
      <c r="CP156" s="581"/>
      <c r="CQ156" s="581"/>
      <c r="CR156" s="581"/>
      <c r="CS156" s="581"/>
      <c r="CT156" s="581"/>
      <c r="CU156" s="581"/>
      <c r="CV156" s="581"/>
      <c r="CW156" s="581"/>
      <c r="CX156" s="581"/>
      <c r="CY156" s="581"/>
      <c r="CZ156" s="581"/>
      <c r="DA156" s="581"/>
      <c r="DB156" s="581"/>
      <c r="DC156" s="581"/>
      <c r="DD156" s="581"/>
      <c r="DE156" s="581"/>
      <c r="DF156" s="581"/>
      <c r="DG156" s="581"/>
      <c r="DH156" s="581"/>
      <c r="DI156" s="581"/>
      <c r="DJ156" s="581"/>
      <c r="DK156" s="581"/>
      <c r="DL156" s="581"/>
      <c r="DM156" s="581"/>
      <c r="DN156" s="581"/>
      <c r="DO156" s="581"/>
      <c r="DP156" s="581"/>
      <c r="DQ156" s="581"/>
      <c r="DR156" s="581"/>
      <c r="DS156" s="581"/>
      <c r="DT156" s="581"/>
      <c r="DU156" s="581"/>
      <c r="DV156" s="581"/>
      <c r="DW156" s="581"/>
      <c r="DX156" s="581"/>
      <c r="DY156" s="581"/>
      <c r="DZ156" s="581"/>
      <c r="EA156" s="581"/>
      <c r="EB156" s="581"/>
      <c r="EC156" s="581"/>
      <c r="ED156" s="581"/>
      <c r="EE156" s="581"/>
      <c r="EF156" s="581"/>
      <c r="EG156" s="581"/>
      <c r="EH156" s="581"/>
      <c r="EI156" s="581"/>
      <c r="EJ156" s="581"/>
    </row>
    <row r="157" spans="1:140" ht="49.5">
      <c r="A157" s="664" t="s">
        <v>124</v>
      </c>
      <c r="B157" s="631"/>
      <c r="C157" s="631"/>
      <c r="D157" s="624"/>
      <c r="E157" s="664"/>
      <c r="F157" s="663"/>
      <c r="G157" s="657"/>
      <c r="H157" s="658"/>
      <c r="I157" s="659"/>
      <c r="J157" s="762">
        <f>SUM(J145:J153)</f>
        <v>12800000</v>
      </c>
      <c r="K157" s="740"/>
      <c r="L157" s="762" t="e">
        <f>L155+#REF!+#REF!+#REF!+#REF!+L153+L149+L146</f>
        <v>#REF!</v>
      </c>
      <c r="M157" s="762" t="e">
        <f>M155+#REF!+#REF!+#REF!+#REF!+M153+M149+M146+#REF!</f>
        <v>#REF!</v>
      </c>
      <c r="N157" s="762" t="e">
        <f>N155+#REF!+#REF!+#REF!+#REF!+N153+N149+N146+#REF!</f>
        <v>#REF!</v>
      </c>
      <c r="O157" s="639" t="s">
        <v>25</v>
      </c>
      <c r="P157" s="625" t="e">
        <f>P146+P149+P153+#REF!+#REF!+#REF!+#REF!+#REF!+P155</f>
        <v>#REF!</v>
      </c>
      <c r="Q157" s="625" t="e">
        <f>Q146+Q149+Q153+#REF!+#REF!+#REF!+#REF!+#REF!+Q155</f>
        <v>#REF!</v>
      </c>
      <c r="R157" s="625" t="e">
        <f>R146+R149+R153+#REF!+#REF!+#REF!+#REF!+#REF!+R155</f>
        <v>#REF!</v>
      </c>
      <c r="S157" s="625" t="e">
        <f>S146+S149+S153+#REF!+#REF!+#REF!+#REF!+#REF!+S155</f>
        <v>#REF!</v>
      </c>
      <c r="T157" s="625" t="e">
        <f>T146+T149+T153+#REF!+#REF!+#REF!+#REF!+#REF!+T155</f>
        <v>#REF!</v>
      </c>
      <c r="U157" s="625" t="e">
        <f>#REF!+#REF!+#REF!+#REF!+#REF!+#REF!+#REF!</f>
        <v>#REF!</v>
      </c>
      <c r="V157" s="625" t="e">
        <f>V146+V149+V153+#REF!+#REF!+#REF!+#REF!+#REF!+V155</f>
        <v>#REF!</v>
      </c>
      <c r="W157" s="625" t="e">
        <f>W146+W149+W153+#REF!+#REF!+#REF!+#REF!+#REF!+W155</f>
        <v>#REF!</v>
      </c>
      <c r="X157" s="625" t="e">
        <f>X146+X149+X153+#REF!+#REF!+#REF!+#REF!+#REF!+X155</f>
        <v>#REF!</v>
      </c>
      <c r="Y157" s="625" t="e">
        <f>Y146+Y149+Y153+#REF!+#REF!+#REF!+#REF!+#REF!+Y155</f>
        <v>#REF!</v>
      </c>
      <c r="Z157" s="625" t="e">
        <f>Z146+Z149+Z153+#REF!+#REF!+#REF!+#REF!+#REF!+Z155</f>
        <v>#REF!</v>
      </c>
      <c r="AA157" s="625" t="e">
        <f>AA146+AA149+AA153+#REF!+#REF!+#REF!+#REF!+#REF!+AA155</f>
        <v>#REF!</v>
      </c>
      <c r="AB157" s="625" t="e">
        <f>AB146+AB149+AB153+#REF!+#REF!+#REF!+#REF!+#REF!+AB155</f>
        <v>#REF!</v>
      </c>
      <c r="AC157" s="625" t="e">
        <f>AC146+AC149+AC153+#REF!+#REF!+#REF!+#REF!+#REF!+AC155</f>
        <v>#REF!</v>
      </c>
      <c r="AD157" s="625" t="e">
        <f>AD146+AD149+AD153+#REF!+#REF!+#REF!+#REF!+#REF!+AD155</f>
        <v>#REF!</v>
      </c>
      <c r="AE157" s="625" t="e">
        <f>AE146+AE149+AE153+#REF!+#REF!+#REF!+#REF!+#REF!+AE155</f>
        <v>#REF!</v>
      </c>
      <c r="AG157" s="578"/>
      <c r="AH157" s="578"/>
      <c r="AI157" s="578"/>
      <c r="AJ157" s="578"/>
      <c r="AK157" s="578"/>
      <c r="AL157" s="579"/>
      <c r="AM157" s="580"/>
      <c r="AN157" s="581"/>
      <c r="AO157" s="581"/>
      <c r="AP157" s="579"/>
      <c r="AQ157" s="582"/>
      <c r="AR157" s="581"/>
      <c r="AS157" s="581"/>
      <c r="AT157" s="581"/>
      <c r="AU157" s="581"/>
      <c r="AV157" s="581"/>
      <c r="AW157" s="581"/>
      <c r="AX157" s="581"/>
      <c r="AY157" s="581"/>
      <c r="AZ157" s="581"/>
      <c r="BA157" s="581"/>
      <c r="BB157" s="581"/>
      <c r="BC157" s="581"/>
      <c r="BD157" s="581"/>
      <c r="BE157" s="581"/>
      <c r="BF157" s="581"/>
      <c r="BG157" s="581"/>
      <c r="BH157" s="581"/>
      <c r="BI157" s="581"/>
      <c r="BJ157" s="581"/>
      <c r="BK157" s="581"/>
      <c r="BL157" s="581"/>
      <c r="BM157" s="581"/>
      <c r="BN157" s="581"/>
      <c r="BO157" s="581"/>
      <c r="BP157" s="581"/>
      <c r="BQ157" s="581"/>
      <c r="BR157" s="581"/>
      <c r="BS157" s="581"/>
      <c r="BT157" s="581"/>
      <c r="BU157" s="581"/>
      <c r="BV157" s="581"/>
      <c r="BW157" s="581"/>
      <c r="BX157" s="581"/>
      <c r="BY157" s="581"/>
      <c r="BZ157" s="581"/>
      <c r="CA157" s="581"/>
      <c r="CB157" s="581"/>
      <c r="CC157" s="581"/>
      <c r="CD157" s="581"/>
      <c r="CE157" s="581"/>
      <c r="CF157" s="581"/>
      <c r="CG157" s="581"/>
      <c r="CH157" s="581"/>
      <c r="CI157" s="581"/>
      <c r="CJ157" s="581"/>
      <c r="CK157" s="581"/>
      <c r="CL157" s="581"/>
      <c r="CM157" s="581"/>
      <c r="CN157" s="581"/>
      <c r="CO157" s="581"/>
      <c r="CP157" s="581"/>
      <c r="CQ157" s="581"/>
      <c r="CR157" s="581"/>
      <c r="CS157" s="581"/>
      <c r="CT157" s="581"/>
      <c r="CU157" s="581"/>
      <c r="CV157" s="581"/>
      <c r="CW157" s="581"/>
      <c r="CX157" s="581"/>
      <c r="CY157" s="581"/>
      <c r="CZ157" s="581"/>
      <c r="DA157" s="581"/>
      <c r="DB157" s="581"/>
      <c r="DC157" s="581"/>
      <c r="DD157" s="581"/>
      <c r="DE157" s="581"/>
      <c r="DF157" s="581"/>
      <c r="DG157" s="581"/>
      <c r="DH157" s="581"/>
      <c r="DI157" s="581"/>
      <c r="DJ157" s="581"/>
      <c r="DK157" s="581"/>
      <c r="DL157" s="581"/>
      <c r="DM157" s="581"/>
      <c r="DN157" s="581"/>
      <c r="DO157" s="581"/>
      <c r="DP157" s="581"/>
      <c r="DQ157" s="581"/>
      <c r="DR157" s="581"/>
      <c r="DS157" s="581"/>
      <c r="DT157" s="581"/>
      <c r="DU157" s="581"/>
      <c r="DV157" s="581"/>
      <c r="DW157" s="581"/>
      <c r="DX157" s="581"/>
      <c r="DY157" s="581"/>
      <c r="DZ157" s="581"/>
      <c r="EA157" s="581"/>
      <c r="EB157" s="581"/>
      <c r="EC157" s="581"/>
      <c r="ED157" s="581"/>
      <c r="EE157" s="581"/>
      <c r="EF157" s="581"/>
      <c r="EG157" s="581"/>
      <c r="EH157" s="581"/>
      <c r="EI157" s="581"/>
      <c r="EJ157" s="581"/>
    </row>
    <row r="158" spans="1:140" s="725" customFormat="1" ht="19.5">
      <c r="A158" s="622"/>
      <c r="B158" s="624"/>
      <c r="C158" s="624"/>
      <c r="D158" s="624"/>
      <c r="E158" s="622"/>
      <c r="F158" s="663"/>
      <c r="G158" s="657"/>
      <c r="H158" s="658"/>
      <c r="I158" s="659"/>
      <c r="J158" s="762"/>
      <c r="K158" s="740"/>
      <c r="L158" s="762"/>
      <c r="M158" s="762"/>
      <c r="N158" s="762"/>
      <c r="O158" s="639"/>
      <c r="P158" s="625"/>
      <c r="Q158" s="625"/>
      <c r="R158" s="625"/>
      <c r="S158" s="625"/>
      <c r="T158" s="625"/>
      <c r="U158" s="625"/>
      <c r="V158" s="625"/>
      <c r="W158" s="625"/>
      <c r="X158" s="625"/>
      <c r="Y158" s="625"/>
      <c r="Z158" s="625"/>
      <c r="AA158" s="625"/>
      <c r="AB158" s="625"/>
      <c r="AC158" s="625"/>
      <c r="AD158" s="625"/>
      <c r="AE158" s="625"/>
      <c r="AF158" s="577"/>
      <c r="AG158" s="578"/>
      <c r="AH158" s="578"/>
      <c r="AI158" s="578"/>
      <c r="AJ158" s="578"/>
      <c r="AK158" s="578"/>
      <c r="AL158" s="579"/>
      <c r="AM158" s="580"/>
      <c r="AN158" s="581"/>
      <c r="AO158" s="581"/>
      <c r="AP158" s="579"/>
      <c r="AQ158" s="582"/>
      <c r="AR158" s="581"/>
      <c r="AS158" s="581"/>
      <c r="AT158" s="581"/>
      <c r="AU158" s="581"/>
      <c r="AV158" s="581"/>
      <c r="AW158" s="581"/>
      <c r="AX158" s="581"/>
      <c r="AY158" s="581"/>
      <c r="AZ158" s="581"/>
      <c r="BA158" s="581"/>
      <c r="BB158" s="581"/>
      <c r="BC158" s="581"/>
      <c r="BD158" s="581"/>
      <c r="BE158" s="581"/>
      <c r="BF158" s="581"/>
      <c r="BG158" s="581"/>
      <c r="BH158" s="581"/>
      <c r="BI158" s="581"/>
      <c r="BJ158" s="581"/>
      <c r="BK158" s="581"/>
      <c r="BL158" s="581"/>
      <c r="BM158" s="581"/>
      <c r="BN158" s="581"/>
      <c r="BO158" s="581"/>
      <c r="BP158" s="581"/>
      <c r="BQ158" s="581"/>
      <c r="BR158" s="581"/>
      <c r="BS158" s="581"/>
      <c r="BT158" s="581"/>
      <c r="BU158" s="581"/>
      <c r="BV158" s="581"/>
      <c r="BW158" s="581"/>
      <c r="BX158" s="581"/>
      <c r="BY158" s="581"/>
      <c r="BZ158" s="581"/>
      <c r="CA158" s="581"/>
      <c r="CB158" s="581"/>
      <c r="CC158" s="581"/>
      <c r="CD158" s="581"/>
      <c r="CE158" s="581"/>
      <c r="CF158" s="581"/>
      <c r="CG158" s="581"/>
      <c r="CH158" s="581"/>
      <c r="CI158" s="581"/>
      <c r="CJ158" s="581"/>
      <c r="CK158" s="581"/>
      <c r="CL158" s="581"/>
      <c r="CM158" s="581"/>
      <c r="CN158" s="581"/>
      <c r="CO158" s="581"/>
      <c r="CP158" s="581"/>
      <c r="CQ158" s="581"/>
      <c r="CR158" s="581"/>
      <c r="CS158" s="581"/>
      <c r="CT158" s="581"/>
      <c r="CU158" s="581"/>
      <c r="CV158" s="581"/>
      <c r="CW158" s="581"/>
      <c r="CX158" s="581"/>
      <c r="CY158" s="581"/>
      <c r="CZ158" s="581"/>
      <c r="DA158" s="581"/>
      <c r="DB158" s="581"/>
      <c r="DC158" s="581"/>
      <c r="DD158" s="581"/>
      <c r="DE158" s="581"/>
      <c r="DF158" s="581"/>
      <c r="DG158" s="581"/>
      <c r="DH158" s="581"/>
      <c r="DI158" s="581"/>
      <c r="DJ158" s="581"/>
      <c r="DK158" s="581"/>
      <c r="DL158" s="581"/>
      <c r="DM158" s="581"/>
      <c r="DN158" s="581"/>
      <c r="DO158" s="581"/>
      <c r="DP158" s="581"/>
      <c r="DQ158" s="581"/>
      <c r="DR158" s="581"/>
      <c r="DS158" s="581"/>
      <c r="DT158" s="581"/>
      <c r="DU158" s="581"/>
      <c r="DV158" s="581"/>
      <c r="DW158" s="581"/>
      <c r="DX158" s="581"/>
      <c r="DY158" s="581"/>
      <c r="DZ158" s="581"/>
      <c r="EA158" s="581"/>
      <c r="EB158" s="581"/>
      <c r="EC158" s="581"/>
      <c r="ED158" s="581"/>
      <c r="EE158" s="581"/>
      <c r="EF158" s="581"/>
      <c r="EG158" s="581"/>
      <c r="EH158" s="581"/>
      <c r="EI158" s="581"/>
      <c r="EJ158" s="581"/>
    </row>
    <row r="159" spans="1:140" ht="15.75" thickBot="1">
      <c r="A159" s="741"/>
      <c r="B159" s="741"/>
      <c r="C159" s="741"/>
      <c r="D159" s="741"/>
      <c r="E159" s="741"/>
      <c r="F159" s="742"/>
      <c r="G159" s="743"/>
      <c r="H159" s="744"/>
      <c r="I159" s="745"/>
      <c r="J159" s="745"/>
      <c r="K159" s="742"/>
      <c r="L159" s="742"/>
      <c r="M159" s="742"/>
      <c r="N159" s="742"/>
      <c r="O159" s="742"/>
      <c r="P159" s="742"/>
      <c r="Q159" s="742"/>
      <c r="R159" s="742"/>
      <c r="S159" s="742"/>
      <c r="T159" s="742"/>
      <c r="U159" s="746"/>
      <c r="V159" s="746"/>
      <c r="W159" s="746"/>
      <c r="X159" s="746"/>
      <c r="Y159" s="746"/>
      <c r="Z159" s="746"/>
      <c r="AA159" s="746"/>
      <c r="AB159" s="746"/>
      <c r="AC159" s="746"/>
      <c r="AD159" s="746"/>
      <c r="AE159" s="746"/>
      <c r="AF159" s="724"/>
      <c r="AG159" s="578"/>
      <c r="AH159" s="578"/>
      <c r="AI159" s="578"/>
      <c r="AJ159" s="578"/>
      <c r="AK159" s="578"/>
      <c r="AL159" s="579"/>
      <c r="AM159" s="580"/>
      <c r="AN159" s="581"/>
      <c r="AO159" s="581"/>
      <c r="AP159" s="579"/>
      <c r="AQ159" s="582"/>
      <c r="AR159" s="581"/>
      <c r="AS159" s="581"/>
      <c r="AT159" s="581"/>
      <c r="AU159" s="581"/>
      <c r="AV159" s="581"/>
      <c r="AW159" s="581"/>
      <c r="AX159" s="581"/>
      <c r="AY159" s="581"/>
      <c r="AZ159" s="581"/>
      <c r="BA159" s="581"/>
      <c r="BB159" s="581"/>
      <c r="BC159" s="581"/>
      <c r="BD159" s="581"/>
      <c r="BE159" s="581"/>
      <c r="BF159" s="581"/>
      <c r="BG159" s="581"/>
      <c r="BH159" s="581"/>
      <c r="BI159" s="581"/>
      <c r="BJ159" s="581"/>
      <c r="BK159" s="581"/>
      <c r="BL159" s="581"/>
      <c r="BM159" s="581"/>
      <c r="BN159" s="581"/>
      <c r="BO159" s="581"/>
      <c r="BP159" s="581"/>
      <c r="BQ159" s="581"/>
      <c r="BR159" s="581"/>
      <c r="BS159" s="581"/>
      <c r="BT159" s="581"/>
      <c r="BU159" s="581"/>
      <c r="BV159" s="581"/>
      <c r="BW159" s="581"/>
      <c r="BX159" s="581"/>
      <c r="BY159" s="581"/>
      <c r="BZ159" s="581"/>
      <c r="CA159" s="581"/>
      <c r="CB159" s="581"/>
      <c r="CC159" s="581"/>
      <c r="CD159" s="581"/>
      <c r="CE159" s="581"/>
      <c r="CF159" s="581"/>
      <c r="CG159" s="581"/>
      <c r="CH159" s="581"/>
      <c r="CI159" s="581"/>
      <c r="CJ159" s="581"/>
      <c r="CK159" s="581"/>
      <c r="CL159" s="581"/>
      <c r="CM159" s="581"/>
      <c r="CN159" s="581"/>
      <c r="CO159" s="581"/>
      <c r="CP159" s="581"/>
      <c r="CQ159" s="581"/>
      <c r="CR159" s="581"/>
      <c r="CS159" s="581"/>
      <c r="CT159" s="581"/>
      <c r="CU159" s="581"/>
      <c r="CV159" s="581"/>
      <c r="CW159" s="581"/>
      <c r="CX159" s="581"/>
      <c r="CY159" s="581"/>
      <c r="CZ159" s="581"/>
      <c r="DA159" s="581"/>
      <c r="DB159" s="581"/>
      <c r="DC159" s="581"/>
      <c r="DD159" s="581"/>
      <c r="DE159" s="581"/>
      <c r="DF159" s="581"/>
      <c r="DG159" s="581"/>
      <c r="DH159" s="581"/>
      <c r="DI159" s="581"/>
      <c r="DJ159" s="581"/>
      <c r="DK159" s="581"/>
      <c r="DL159" s="581"/>
      <c r="DM159" s="581"/>
      <c r="DN159" s="581"/>
      <c r="DO159" s="581"/>
      <c r="DP159" s="581"/>
      <c r="DQ159" s="581"/>
      <c r="DR159" s="581"/>
      <c r="DS159" s="581"/>
      <c r="DT159" s="581"/>
      <c r="DU159" s="581"/>
      <c r="DV159" s="581"/>
      <c r="DW159" s="581"/>
      <c r="DX159" s="581"/>
      <c r="DY159" s="581"/>
      <c r="DZ159" s="581"/>
      <c r="EA159" s="581"/>
      <c r="EB159" s="581"/>
      <c r="EC159" s="581"/>
      <c r="ED159" s="581"/>
      <c r="EE159" s="581"/>
      <c r="EF159" s="581"/>
      <c r="EG159" s="581"/>
      <c r="EH159" s="581"/>
      <c r="EI159" s="581"/>
      <c r="EJ159" s="581"/>
    </row>
    <row r="160" spans="1:43" s="581" customFormat="1" ht="49.5">
      <c r="A160" s="747" t="s">
        <v>125</v>
      </c>
      <c r="B160" s="855"/>
      <c r="C160" s="855"/>
      <c r="D160" s="855"/>
      <c r="E160" s="747"/>
      <c r="F160" s="748"/>
      <c r="G160" s="749"/>
      <c r="H160" s="585"/>
      <c r="I160" s="750"/>
      <c r="J160" s="776">
        <f>J55+J140+J157</f>
        <v>197037294.16511473</v>
      </c>
      <c r="K160" s="777"/>
      <c r="L160" s="778" t="e">
        <f>L55+L140+L157</f>
        <v>#REF!</v>
      </c>
      <c r="M160" s="779" t="e">
        <f>M55+M140+M157</f>
        <v>#DIV/0!</v>
      </c>
      <c r="N160" s="779" t="e">
        <f>N55+N140+N157</f>
        <v>#DIV/0!</v>
      </c>
      <c r="O160" s="617"/>
      <c r="P160" s="590"/>
      <c r="Q160" s="590"/>
      <c r="R160" s="590"/>
      <c r="S160" s="590"/>
      <c r="T160" s="590"/>
      <c r="U160" s="592"/>
      <c r="V160" s="592"/>
      <c r="W160" s="592"/>
      <c r="X160" s="592"/>
      <c r="Y160" s="592"/>
      <c r="Z160" s="592"/>
      <c r="AA160" s="592"/>
      <c r="AB160" s="592"/>
      <c r="AC160" s="592"/>
      <c r="AD160" s="592"/>
      <c r="AE160" s="592"/>
      <c r="AF160" s="594"/>
      <c r="AG160" s="578"/>
      <c r="AH160" s="578"/>
      <c r="AI160" s="578"/>
      <c r="AJ160" s="578"/>
      <c r="AK160" s="578"/>
      <c r="AL160" s="579"/>
      <c r="AM160" s="580"/>
      <c r="AP160" s="840"/>
      <c r="AQ160" s="582"/>
    </row>
    <row r="161" spans="1:140" s="725" customFormat="1" ht="49.5">
      <c r="A161" s="747" t="s">
        <v>126</v>
      </c>
      <c r="B161" s="855"/>
      <c r="C161" s="855"/>
      <c r="D161" s="855"/>
      <c r="E161" s="747"/>
      <c r="F161" s="713"/>
      <c r="G161" s="613" t="s">
        <v>25</v>
      </c>
      <c r="H161" s="585"/>
      <c r="I161" s="587"/>
      <c r="J161" s="587"/>
      <c r="K161" s="751"/>
      <c r="L161" s="751"/>
      <c r="M161" s="713"/>
      <c r="N161" s="713"/>
      <c r="O161" s="713"/>
      <c r="P161" s="590"/>
      <c r="Q161" s="590"/>
      <c r="R161" s="590"/>
      <c r="S161" s="590"/>
      <c r="T161" s="590"/>
      <c r="U161" s="592"/>
      <c r="V161" s="592"/>
      <c r="W161" s="592"/>
      <c r="X161" s="592"/>
      <c r="Y161" s="592"/>
      <c r="Z161" s="592"/>
      <c r="AA161" s="592"/>
      <c r="AB161" s="592"/>
      <c r="AC161" s="592"/>
      <c r="AD161" s="592"/>
      <c r="AE161" s="592"/>
      <c r="AF161" s="594"/>
      <c r="AG161" s="578"/>
      <c r="AH161" s="578"/>
      <c r="AI161" s="578"/>
      <c r="AJ161" s="578"/>
      <c r="AK161" s="578"/>
      <c r="AL161" s="579"/>
      <c r="AM161" s="580"/>
      <c r="AN161" s="581"/>
      <c r="AO161" s="581"/>
      <c r="AP161" s="579"/>
      <c r="AQ161" s="582"/>
      <c r="AR161" s="581"/>
      <c r="AS161" s="581"/>
      <c r="AT161" s="581"/>
      <c r="AU161" s="581"/>
      <c r="AV161" s="581"/>
      <c r="AW161" s="581"/>
      <c r="AX161" s="581"/>
      <c r="AY161" s="581"/>
      <c r="AZ161" s="581"/>
      <c r="BA161" s="581"/>
      <c r="BB161" s="581"/>
      <c r="BC161" s="581"/>
      <c r="BD161" s="581"/>
      <c r="BE161" s="581"/>
      <c r="BF161" s="581"/>
      <c r="BG161" s="581"/>
      <c r="BH161" s="581"/>
      <c r="BI161" s="581"/>
      <c r="BJ161" s="581"/>
      <c r="BK161" s="581"/>
      <c r="BL161" s="581"/>
      <c r="BM161" s="581"/>
      <c r="BN161" s="581"/>
      <c r="BO161" s="581"/>
      <c r="BP161" s="581"/>
      <c r="BQ161" s="581"/>
      <c r="BR161" s="581"/>
      <c r="BS161" s="581"/>
      <c r="BT161" s="581"/>
      <c r="BU161" s="581"/>
      <c r="BV161" s="581"/>
      <c r="BW161" s="581"/>
      <c r="BX161" s="581"/>
      <c r="BY161" s="581"/>
      <c r="BZ161" s="581"/>
      <c r="CA161" s="581"/>
      <c r="CB161" s="581"/>
      <c r="CC161" s="581"/>
      <c r="CD161" s="581"/>
      <c r="CE161" s="581"/>
      <c r="CF161" s="581"/>
      <c r="CG161" s="581"/>
      <c r="CH161" s="581"/>
      <c r="CI161" s="581"/>
      <c r="CJ161" s="581"/>
      <c r="CK161" s="581"/>
      <c r="CL161" s="581"/>
      <c r="CM161" s="581"/>
      <c r="CN161" s="581"/>
      <c r="CO161" s="581"/>
      <c r="CP161" s="581"/>
      <c r="CQ161" s="581"/>
      <c r="CR161" s="581"/>
      <c r="CS161" s="581"/>
      <c r="CT161" s="581"/>
      <c r="CU161" s="581"/>
      <c r="CV161" s="581"/>
      <c r="CW161" s="581"/>
      <c r="CX161" s="581"/>
      <c r="CY161" s="581"/>
      <c r="CZ161" s="581"/>
      <c r="DA161" s="581"/>
      <c r="DB161" s="581"/>
      <c r="DC161" s="581"/>
      <c r="DD161" s="581"/>
      <c r="DE161" s="581"/>
      <c r="DF161" s="581"/>
      <c r="DG161" s="581"/>
      <c r="DH161" s="581"/>
      <c r="DI161" s="581"/>
      <c r="DJ161" s="581"/>
      <c r="DK161" s="581"/>
      <c r="DL161" s="581"/>
      <c r="DM161" s="581"/>
      <c r="DN161" s="581"/>
      <c r="DO161" s="581"/>
      <c r="DP161" s="581"/>
      <c r="DQ161" s="581"/>
      <c r="DR161" s="581"/>
      <c r="DS161" s="581"/>
      <c r="DT161" s="581"/>
      <c r="DU161" s="581"/>
      <c r="DV161" s="581"/>
      <c r="DW161" s="581"/>
      <c r="DX161" s="581"/>
      <c r="DY161" s="581"/>
      <c r="DZ161" s="581"/>
      <c r="EA161" s="581"/>
      <c r="EB161" s="581"/>
      <c r="EC161" s="581"/>
      <c r="ED161" s="581"/>
      <c r="EE161" s="581"/>
      <c r="EF161" s="581"/>
      <c r="EG161" s="581"/>
      <c r="EH161" s="581"/>
      <c r="EI161" s="581"/>
      <c r="EJ161" s="581"/>
    </row>
    <row r="162" spans="1:43" s="581" customFormat="1" ht="24.75">
      <c r="A162" s="747"/>
      <c r="B162" s="855"/>
      <c r="C162" s="855"/>
      <c r="D162" s="855"/>
      <c r="E162" s="747"/>
      <c r="F162" s="713"/>
      <c r="G162" s="613"/>
      <c r="H162" s="585"/>
      <c r="I162" s="587"/>
      <c r="J162" s="587"/>
      <c r="K162" s="751"/>
      <c r="L162" s="751"/>
      <c r="M162" s="713"/>
      <c r="N162" s="713"/>
      <c r="O162" s="713"/>
      <c r="P162" s="590"/>
      <c r="Q162" s="590"/>
      <c r="R162" s="590"/>
      <c r="S162" s="590"/>
      <c r="T162" s="590"/>
      <c r="U162" s="592"/>
      <c r="V162" s="592"/>
      <c r="W162" s="592"/>
      <c r="X162" s="592"/>
      <c r="Y162" s="592"/>
      <c r="Z162" s="592"/>
      <c r="AA162" s="592"/>
      <c r="AB162" s="592"/>
      <c r="AC162" s="592"/>
      <c r="AD162" s="592"/>
      <c r="AE162" s="592"/>
      <c r="AF162" s="594"/>
      <c r="AG162" s="578"/>
      <c r="AH162" s="578"/>
      <c r="AI162" s="578"/>
      <c r="AJ162" s="578"/>
      <c r="AK162" s="578"/>
      <c r="AL162" s="579"/>
      <c r="AM162" s="580"/>
      <c r="AP162" s="579"/>
      <c r="AQ162" s="582"/>
    </row>
    <row r="163" spans="1:43" s="581" customFormat="1" ht="24.75">
      <c r="A163" s="747" t="s">
        <v>906</v>
      </c>
      <c r="B163" s="855"/>
      <c r="C163" s="855"/>
      <c r="D163" s="855"/>
      <c r="E163" s="747"/>
      <c r="F163" s="713"/>
      <c r="G163" s="613"/>
      <c r="H163" s="585"/>
      <c r="I163" s="587"/>
      <c r="J163" s="587"/>
      <c r="K163" s="751"/>
      <c r="L163" s="751"/>
      <c r="M163" s="713"/>
      <c r="N163" s="713"/>
      <c r="O163" s="713"/>
      <c r="P163" s="590"/>
      <c r="Q163" s="590"/>
      <c r="R163" s="590"/>
      <c r="S163" s="590"/>
      <c r="T163" s="590"/>
      <c r="U163" s="592"/>
      <c r="V163" s="592"/>
      <c r="W163" s="592"/>
      <c r="X163" s="592"/>
      <c r="Y163" s="592"/>
      <c r="Z163" s="592"/>
      <c r="AA163" s="592"/>
      <c r="AB163" s="592"/>
      <c r="AC163" s="592"/>
      <c r="AD163" s="592"/>
      <c r="AE163" s="592"/>
      <c r="AF163" s="594"/>
      <c r="AG163" s="578"/>
      <c r="AH163" s="578"/>
      <c r="AI163" s="578"/>
      <c r="AJ163" s="578"/>
      <c r="AK163" s="578"/>
      <c r="AL163" s="579"/>
      <c r="AM163" s="580"/>
      <c r="AP163" s="579"/>
      <c r="AQ163" s="582"/>
    </row>
    <row r="164" spans="1:43" s="581" customFormat="1" ht="24.75">
      <c r="A164" s="747"/>
      <c r="B164" s="855"/>
      <c r="C164" s="855"/>
      <c r="D164" s="855"/>
      <c r="E164" s="747"/>
      <c r="F164" s="713"/>
      <c r="G164" s="613"/>
      <c r="H164" s="585"/>
      <c r="I164" s="587"/>
      <c r="J164" s="587"/>
      <c r="K164" s="751"/>
      <c r="L164" s="751"/>
      <c r="M164" s="713"/>
      <c r="N164" s="713"/>
      <c r="O164" s="713"/>
      <c r="P164" s="590"/>
      <c r="Q164" s="590"/>
      <c r="R164" s="590"/>
      <c r="S164" s="590"/>
      <c r="T164" s="590"/>
      <c r="U164" s="592"/>
      <c r="V164" s="592"/>
      <c r="W164" s="592"/>
      <c r="X164" s="592"/>
      <c r="Y164" s="592"/>
      <c r="Z164" s="592"/>
      <c r="AA164" s="592"/>
      <c r="AB164" s="592"/>
      <c r="AC164" s="592"/>
      <c r="AD164" s="592"/>
      <c r="AE164" s="592"/>
      <c r="AF164" s="594"/>
      <c r="AG164" s="578"/>
      <c r="AH164" s="578"/>
      <c r="AI164" s="578"/>
      <c r="AJ164" s="578"/>
      <c r="AK164" s="578"/>
      <c r="AL164" s="579"/>
      <c r="AM164" s="580"/>
      <c r="AP164" s="579"/>
      <c r="AQ164" s="582"/>
    </row>
    <row r="165" spans="1:43" s="581" customFormat="1" ht="30.75">
      <c r="A165" s="775" t="s">
        <v>907</v>
      </c>
      <c r="B165" s="775"/>
      <c r="C165" s="775"/>
      <c r="D165" s="775"/>
      <c r="E165" s="775"/>
      <c r="F165" s="620"/>
      <c r="G165" s="620"/>
      <c r="H165" s="598" t="s">
        <v>908</v>
      </c>
      <c r="I165" s="544" t="s">
        <v>908</v>
      </c>
      <c r="J165" s="841">
        <v>10000000</v>
      </c>
      <c r="K165" s="713"/>
      <c r="L165" s="713"/>
      <c r="M165" s="713"/>
      <c r="N165" s="713"/>
      <c r="O165" s="603" t="s">
        <v>909</v>
      </c>
      <c r="P165" s="590"/>
      <c r="Q165" s="590"/>
      <c r="R165" s="590"/>
      <c r="S165" s="590"/>
      <c r="T165" s="590"/>
      <c r="U165" s="592"/>
      <c r="V165" s="592"/>
      <c r="W165" s="592"/>
      <c r="X165" s="592"/>
      <c r="Y165" s="592"/>
      <c r="Z165" s="592"/>
      <c r="AA165" s="592"/>
      <c r="AB165" s="592"/>
      <c r="AC165" s="592"/>
      <c r="AD165" s="592"/>
      <c r="AE165" s="592"/>
      <c r="AF165" s="594"/>
      <c r="AG165" s="578"/>
      <c r="AH165" s="578"/>
      <c r="AI165" s="578"/>
      <c r="AJ165" s="578"/>
      <c r="AK165" s="578"/>
      <c r="AL165" s="579"/>
      <c r="AM165" s="580"/>
      <c r="AP165" s="579"/>
      <c r="AQ165" s="582"/>
    </row>
    <row r="166" spans="1:43" s="581" customFormat="1" ht="87">
      <c r="A166" s="775" t="s">
        <v>910</v>
      </c>
      <c r="B166" s="775"/>
      <c r="C166" s="775"/>
      <c r="D166" s="775"/>
      <c r="E166" s="775"/>
      <c r="F166" s="620"/>
      <c r="G166" s="620"/>
      <c r="H166" s="598" t="s">
        <v>740</v>
      </c>
      <c r="I166" s="544" t="s">
        <v>908</v>
      </c>
      <c r="J166" s="841" t="s">
        <v>911</v>
      </c>
      <c r="K166" s="713"/>
      <c r="L166" s="590"/>
      <c r="M166" s="590"/>
      <c r="N166" s="590"/>
      <c r="O166" s="603" t="s">
        <v>912</v>
      </c>
      <c r="P166" s="590"/>
      <c r="Q166" s="590"/>
      <c r="R166" s="590"/>
      <c r="S166" s="590"/>
      <c r="T166" s="590"/>
      <c r="U166" s="592"/>
      <c r="V166" s="592"/>
      <c r="W166" s="592"/>
      <c r="X166" s="592"/>
      <c r="Y166" s="592"/>
      <c r="Z166" s="592"/>
      <c r="AA166" s="592"/>
      <c r="AB166" s="592"/>
      <c r="AC166" s="592"/>
      <c r="AD166" s="592"/>
      <c r="AE166" s="592"/>
      <c r="AF166" s="594"/>
      <c r="AG166" s="578"/>
      <c r="AH166" s="578"/>
      <c r="AI166" s="578"/>
      <c r="AJ166" s="578"/>
      <c r="AK166" s="578"/>
      <c r="AL166" s="579"/>
      <c r="AM166" s="580"/>
      <c r="AP166" s="579"/>
      <c r="AQ166" s="582"/>
    </row>
    <row r="167" spans="1:43" s="581" customFormat="1" ht="30.75">
      <c r="A167" s="775" t="s">
        <v>913</v>
      </c>
      <c r="B167" s="775"/>
      <c r="C167" s="775"/>
      <c r="D167" s="775"/>
      <c r="E167" s="775"/>
      <c r="F167" s="620"/>
      <c r="G167" s="620"/>
      <c r="H167" s="598" t="s">
        <v>908</v>
      </c>
      <c r="I167" s="544" t="s">
        <v>908</v>
      </c>
      <c r="J167" s="841">
        <v>6000000</v>
      </c>
      <c r="K167" s="713"/>
      <c r="L167" s="590"/>
      <c r="M167" s="590"/>
      <c r="N167" s="590"/>
      <c r="O167" s="603" t="s">
        <v>914</v>
      </c>
      <c r="P167" s="590"/>
      <c r="Q167" s="590"/>
      <c r="R167" s="590"/>
      <c r="S167" s="590"/>
      <c r="T167" s="590"/>
      <c r="U167" s="592"/>
      <c r="V167" s="592"/>
      <c r="W167" s="592"/>
      <c r="X167" s="592"/>
      <c r="Y167" s="592"/>
      <c r="Z167" s="592"/>
      <c r="AA167" s="592"/>
      <c r="AB167" s="592"/>
      <c r="AC167" s="592"/>
      <c r="AD167" s="592"/>
      <c r="AE167" s="592"/>
      <c r="AF167" s="594"/>
      <c r="AG167" s="578"/>
      <c r="AH167" s="578"/>
      <c r="AI167" s="578"/>
      <c r="AJ167" s="578"/>
      <c r="AK167" s="578"/>
      <c r="AL167" s="579"/>
      <c r="AM167" s="580"/>
      <c r="AP167" s="579"/>
      <c r="AQ167" s="582"/>
    </row>
    <row r="168" spans="1:43" s="581" customFormat="1" ht="15">
      <c r="A168" s="775" t="s">
        <v>933</v>
      </c>
      <c r="B168" s="775"/>
      <c r="C168" s="775"/>
      <c r="D168" s="775"/>
      <c r="E168" s="775"/>
      <c r="F168" s="620"/>
      <c r="G168" s="620"/>
      <c r="H168" s="598" t="s">
        <v>908</v>
      </c>
      <c r="I168" s="544" t="s">
        <v>908</v>
      </c>
      <c r="J168" s="841">
        <v>2000000</v>
      </c>
      <c r="K168" s="713"/>
      <c r="L168" s="590"/>
      <c r="M168" s="590"/>
      <c r="N168" s="590"/>
      <c r="O168" s="603" t="s">
        <v>912</v>
      </c>
      <c r="P168" s="590"/>
      <c r="Q168" s="590"/>
      <c r="R168" s="590"/>
      <c r="S168" s="590"/>
      <c r="T168" s="590"/>
      <c r="U168" s="592"/>
      <c r="V168" s="592"/>
      <c r="W168" s="592"/>
      <c r="X168" s="592"/>
      <c r="Y168" s="592"/>
      <c r="Z168" s="592"/>
      <c r="AA168" s="592"/>
      <c r="AB168" s="592"/>
      <c r="AC168" s="592"/>
      <c r="AD168" s="592"/>
      <c r="AE168" s="592"/>
      <c r="AF168" s="594"/>
      <c r="AG168" s="578"/>
      <c r="AH168" s="578"/>
      <c r="AI168" s="578"/>
      <c r="AJ168" s="578"/>
      <c r="AK168" s="578"/>
      <c r="AL168" s="579"/>
      <c r="AM168" s="580"/>
      <c r="AP168" s="579"/>
      <c r="AQ168" s="582"/>
    </row>
    <row r="169" spans="1:43" s="581" customFormat="1" ht="30.75">
      <c r="A169" s="775" t="s">
        <v>915</v>
      </c>
      <c r="B169" s="775"/>
      <c r="C169" s="775"/>
      <c r="D169" s="775"/>
      <c r="E169" s="775"/>
      <c r="F169" s="620"/>
      <c r="G169" s="620"/>
      <c r="H169" s="621" t="s">
        <v>916</v>
      </c>
      <c r="I169" s="544" t="s">
        <v>908</v>
      </c>
      <c r="J169" s="617" t="s">
        <v>917</v>
      </c>
      <c r="K169" s="713"/>
      <c r="L169" s="713"/>
      <c r="M169" s="713"/>
      <c r="N169" s="713"/>
      <c r="O169" s="603" t="s">
        <v>914</v>
      </c>
      <c r="P169" s="590"/>
      <c r="Q169" s="590"/>
      <c r="R169" s="590"/>
      <c r="S169" s="590"/>
      <c r="T169" s="590"/>
      <c r="U169" s="592"/>
      <c r="V169" s="592"/>
      <c r="W169" s="592"/>
      <c r="X169" s="592"/>
      <c r="Y169" s="592"/>
      <c r="Z169" s="592"/>
      <c r="AA169" s="592"/>
      <c r="AB169" s="592"/>
      <c r="AC169" s="592"/>
      <c r="AD169" s="592"/>
      <c r="AE169" s="592"/>
      <c r="AF169" s="594"/>
      <c r="AG169" s="578"/>
      <c r="AH169" s="578"/>
      <c r="AI169" s="578"/>
      <c r="AJ169" s="578"/>
      <c r="AK169" s="578"/>
      <c r="AL169" s="579"/>
      <c r="AM169" s="580"/>
      <c r="AP169" s="579"/>
      <c r="AQ169" s="582"/>
    </row>
    <row r="170" spans="1:43" s="581" customFormat="1" ht="49.5">
      <c r="A170" s="775" t="s">
        <v>918</v>
      </c>
      <c r="B170" s="775"/>
      <c r="C170" s="775"/>
      <c r="D170" s="775"/>
      <c r="E170" s="775"/>
      <c r="F170" s="620"/>
      <c r="G170" s="620"/>
      <c r="H170" s="598" t="s">
        <v>919</v>
      </c>
      <c r="I170" s="544" t="s">
        <v>908</v>
      </c>
      <c r="J170" s="841" t="s">
        <v>920</v>
      </c>
      <c r="K170" s="713"/>
      <c r="L170" s="713"/>
      <c r="M170" s="713"/>
      <c r="N170" s="713"/>
      <c r="O170" s="603" t="s">
        <v>912</v>
      </c>
      <c r="P170" s="590"/>
      <c r="Q170" s="590"/>
      <c r="R170" s="590"/>
      <c r="S170" s="590"/>
      <c r="T170" s="590"/>
      <c r="U170" s="592"/>
      <c r="V170" s="592"/>
      <c r="W170" s="592"/>
      <c r="X170" s="592"/>
      <c r="Y170" s="592"/>
      <c r="Z170" s="592"/>
      <c r="AA170" s="592"/>
      <c r="AB170" s="592"/>
      <c r="AC170" s="592"/>
      <c r="AD170" s="592"/>
      <c r="AE170" s="592"/>
      <c r="AF170" s="594"/>
      <c r="AG170" s="578"/>
      <c r="AH170" s="578"/>
      <c r="AI170" s="578"/>
      <c r="AJ170" s="578"/>
      <c r="AK170" s="578"/>
      <c r="AL170" s="579"/>
      <c r="AM170" s="580"/>
      <c r="AP170" s="579"/>
      <c r="AQ170" s="582"/>
    </row>
    <row r="171" spans="1:43" s="581" customFormat="1" ht="46.5">
      <c r="A171" s="775" t="s">
        <v>921</v>
      </c>
      <c r="B171" s="775"/>
      <c r="C171" s="775"/>
      <c r="D171" s="775"/>
      <c r="E171" s="775"/>
      <c r="F171" s="620"/>
      <c r="G171" s="620"/>
      <c r="H171" s="662" t="s">
        <v>922</v>
      </c>
      <c r="I171" s="662" t="s">
        <v>908</v>
      </c>
      <c r="J171" s="639" t="s">
        <v>908</v>
      </c>
      <c r="K171" s="617"/>
      <c r="L171" s="617"/>
      <c r="M171" s="617"/>
      <c r="N171" s="617"/>
      <c r="O171" s="639" t="s">
        <v>908</v>
      </c>
      <c r="P171" s="590"/>
      <c r="Q171" s="590"/>
      <c r="R171" s="590"/>
      <c r="S171" s="590"/>
      <c r="T171" s="590"/>
      <c r="U171" s="592"/>
      <c r="V171" s="592"/>
      <c r="W171" s="592"/>
      <c r="X171" s="592"/>
      <c r="Y171" s="592"/>
      <c r="Z171" s="592"/>
      <c r="AA171" s="592"/>
      <c r="AB171" s="592"/>
      <c r="AC171" s="592"/>
      <c r="AD171" s="592"/>
      <c r="AE171" s="592"/>
      <c r="AF171" s="594"/>
      <c r="AG171" s="578"/>
      <c r="AH171" s="578"/>
      <c r="AI171" s="578"/>
      <c r="AJ171" s="578"/>
      <c r="AK171" s="578"/>
      <c r="AL171" s="579"/>
      <c r="AM171" s="580"/>
      <c r="AP171" s="579"/>
      <c r="AQ171" s="582"/>
    </row>
    <row r="172" spans="1:43" s="581" customFormat="1" ht="30.75">
      <c r="A172" s="775" t="s">
        <v>893</v>
      </c>
      <c r="B172" s="775"/>
      <c r="C172" s="775"/>
      <c r="D172" s="775"/>
      <c r="E172" s="775"/>
      <c r="F172" s="620"/>
      <c r="G172" s="620"/>
      <c r="H172" s="620"/>
      <c r="I172" s="620"/>
      <c r="J172" s="601">
        <v>12230202</v>
      </c>
      <c r="K172" s="620"/>
      <c r="L172" s="620"/>
      <c r="M172" s="620"/>
      <c r="N172" s="620"/>
      <c r="O172" s="603" t="s">
        <v>909</v>
      </c>
      <c r="P172" s="590"/>
      <c r="Q172" s="590"/>
      <c r="R172" s="590"/>
      <c r="S172" s="590"/>
      <c r="T172" s="590"/>
      <c r="U172" s="592"/>
      <c r="V172" s="592"/>
      <c r="W172" s="592"/>
      <c r="X172" s="592"/>
      <c r="Y172" s="592"/>
      <c r="Z172" s="592"/>
      <c r="AA172" s="592"/>
      <c r="AB172" s="592"/>
      <c r="AC172" s="592"/>
      <c r="AD172" s="592"/>
      <c r="AE172" s="592"/>
      <c r="AF172" s="594"/>
      <c r="AG172" s="578"/>
      <c r="AH172" s="578"/>
      <c r="AI172" s="578"/>
      <c r="AJ172" s="578"/>
      <c r="AK172" s="578"/>
      <c r="AL172" s="579"/>
      <c r="AM172" s="580"/>
      <c r="AP172" s="579"/>
      <c r="AQ172" s="582"/>
    </row>
    <row r="173" spans="1:43" s="581" customFormat="1" ht="30.75">
      <c r="A173" s="775" t="s">
        <v>887</v>
      </c>
      <c r="B173" s="775"/>
      <c r="C173" s="775"/>
      <c r="D173" s="775"/>
      <c r="E173" s="775"/>
      <c r="F173" s="620"/>
      <c r="G173" s="620"/>
      <c r="H173" s="620"/>
      <c r="I173" s="620"/>
      <c r="J173" s="587">
        <v>527770</v>
      </c>
      <c r="K173" s="620"/>
      <c r="L173" s="620"/>
      <c r="M173" s="620"/>
      <c r="N173" s="620"/>
      <c r="O173" s="603" t="s">
        <v>909</v>
      </c>
      <c r="P173" s="590"/>
      <c r="Q173" s="590"/>
      <c r="R173" s="590"/>
      <c r="S173" s="590"/>
      <c r="T173" s="590"/>
      <c r="U173" s="592"/>
      <c r="V173" s="592"/>
      <c r="W173" s="592"/>
      <c r="X173" s="592"/>
      <c r="Y173" s="592"/>
      <c r="Z173" s="592"/>
      <c r="AA173" s="592"/>
      <c r="AB173" s="592"/>
      <c r="AC173" s="592"/>
      <c r="AD173" s="592"/>
      <c r="AE173" s="592"/>
      <c r="AF173" s="594"/>
      <c r="AG173" s="578"/>
      <c r="AH173" s="578"/>
      <c r="AI173" s="578"/>
      <c r="AJ173" s="578"/>
      <c r="AK173" s="578"/>
      <c r="AL173" s="579"/>
      <c r="AM173" s="580"/>
      <c r="AP173" s="579"/>
      <c r="AQ173" s="582"/>
    </row>
    <row r="174" spans="1:43" s="581" customFormat="1" ht="30.75">
      <c r="A174" s="775" t="s">
        <v>888</v>
      </c>
      <c r="B174" s="775"/>
      <c r="C174" s="775"/>
      <c r="D174" s="775"/>
      <c r="E174" s="775"/>
      <c r="F174" s="603"/>
      <c r="G174" s="603"/>
      <c r="H174" s="620"/>
      <c r="I174" s="620"/>
      <c r="J174" s="620"/>
      <c r="K174" s="620"/>
      <c r="L174" s="620"/>
      <c r="M174" s="620"/>
      <c r="N174" s="620"/>
      <c r="O174" s="620"/>
      <c r="P174" s="590"/>
      <c r="Q174" s="590"/>
      <c r="R174" s="590"/>
      <c r="S174" s="590"/>
      <c r="T174" s="590"/>
      <c r="U174" s="592"/>
      <c r="V174" s="592"/>
      <c r="W174" s="592"/>
      <c r="X174" s="592"/>
      <c r="Y174" s="592"/>
      <c r="Z174" s="592"/>
      <c r="AA174" s="592"/>
      <c r="AB174" s="592"/>
      <c r="AC174" s="592"/>
      <c r="AD174" s="592"/>
      <c r="AE174" s="592"/>
      <c r="AF174" s="594"/>
      <c r="AG174" s="578"/>
      <c r="AH174" s="578"/>
      <c r="AI174" s="578"/>
      <c r="AJ174" s="578"/>
      <c r="AK174" s="578"/>
      <c r="AL174" s="579"/>
      <c r="AM174" s="580"/>
      <c r="AP174" s="579"/>
      <c r="AQ174" s="582"/>
    </row>
    <row r="175" spans="1:43" s="581" customFormat="1" ht="24.75">
      <c r="A175" s="747"/>
      <c r="B175" s="855"/>
      <c r="C175" s="855"/>
      <c r="D175" s="855"/>
      <c r="E175" s="747"/>
      <c r="F175" s="713"/>
      <c r="G175" s="613"/>
      <c r="H175" s="585"/>
      <c r="I175" s="587"/>
      <c r="J175" s="587"/>
      <c r="K175" s="751"/>
      <c r="L175" s="751"/>
      <c r="M175" s="713"/>
      <c r="N175" s="713"/>
      <c r="O175" s="713"/>
      <c r="P175" s="590"/>
      <c r="Q175" s="590"/>
      <c r="R175" s="590"/>
      <c r="S175" s="590"/>
      <c r="T175" s="590"/>
      <c r="U175" s="592"/>
      <c r="V175" s="592"/>
      <c r="W175" s="592"/>
      <c r="X175" s="592"/>
      <c r="Y175" s="592"/>
      <c r="Z175" s="592"/>
      <c r="AA175" s="592"/>
      <c r="AB175" s="592"/>
      <c r="AC175" s="592"/>
      <c r="AD175" s="592"/>
      <c r="AE175" s="592"/>
      <c r="AF175" s="594"/>
      <c r="AG175" s="578"/>
      <c r="AH175" s="578"/>
      <c r="AI175" s="578"/>
      <c r="AJ175" s="578"/>
      <c r="AK175" s="578"/>
      <c r="AL175" s="579"/>
      <c r="AM175" s="580"/>
      <c r="AP175" s="579"/>
      <c r="AQ175" s="582"/>
    </row>
    <row r="176" spans="2:140" ht="3.75" customHeight="1">
      <c r="B176" s="600"/>
      <c r="C176" s="600"/>
      <c r="D176" s="600"/>
      <c r="AG176" s="578"/>
      <c r="AH176" s="578"/>
      <c r="AI176" s="578"/>
      <c r="AJ176" s="578"/>
      <c r="AK176" s="578"/>
      <c r="AL176" s="579"/>
      <c r="AM176" s="580"/>
      <c r="AN176" s="581"/>
      <c r="AO176" s="581"/>
      <c r="AP176" s="579"/>
      <c r="AQ176" s="582"/>
      <c r="AR176" s="581"/>
      <c r="AS176" s="581"/>
      <c r="AT176" s="581"/>
      <c r="AU176" s="581"/>
      <c r="AV176" s="581"/>
      <c r="AW176" s="581"/>
      <c r="AX176" s="581"/>
      <c r="AY176" s="581"/>
      <c r="AZ176" s="581"/>
      <c r="BA176" s="581"/>
      <c r="BB176" s="581"/>
      <c r="BC176" s="581"/>
      <c r="BD176" s="581"/>
      <c r="BE176" s="581"/>
      <c r="BF176" s="581"/>
      <c r="BG176" s="581"/>
      <c r="BH176" s="581"/>
      <c r="BI176" s="581"/>
      <c r="BJ176" s="581"/>
      <c r="BK176" s="581"/>
      <c r="BL176" s="581"/>
      <c r="BM176" s="581"/>
      <c r="BN176" s="581"/>
      <c r="BO176" s="581"/>
      <c r="BP176" s="581"/>
      <c r="BQ176" s="581"/>
      <c r="BR176" s="581"/>
      <c r="BS176" s="581"/>
      <c r="BT176" s="581"/>
      <c r="BU176" s="581"/>
      <c r="BV176" s="581"/>
      <c r="BW176" s="581"/>
      <c r="BX176" s="581"/>
      <c r="BY176" s="581"/>
      <c r="BZ176" s="581"/>
      <c r="CA176" s="581"/>
      <c r="CB176" s="581"/>
      <c r="CC176" s="581"/>
      <c r="CD176" s="581"/>
      <c r="CE176" s="581"/>
      <c r="CF176" s="581"/>
      <c r="CG176" s="581"/>
      <c r="CH176" s="581"/>
      <c r="CI176" s="581"/>
      <c r="CJ176" s="581"/>
      <c r="CK176" s="581"/>
      <c r="CL176" s="581"/>
      <c r="CM176" s="581"/>
      <c r="CN176" s="581"/>
      <c r="CO176" s="581"/>
      <c r="CP176" s="581"/>
      <c r="CQ176" s="581"/>
      <c r="CR176" s="581"/>
      <c r="CS176" s="581"/>
      <c r="CT176" s="581"/>
      <c r="CU176" s="581"/>
      <c r="CV176" s="581"/>
      <c r="CW176" s="581"/>
      <c r="CX176" s="581"/>
      <c r="CY176" s="581"/>
      <c r="CZ176" s="581"/>
      <c r="DA176" s="581"/>
      <c r="DB176" s="581"/>
      <c r="DC176" s="581"/>
      <c r="DD176" s="581"/>
      <c r="DE176" s="581"/>
      <c r="DF176" s="581"/>
      <c r="DG176" s="581"/>
      <c r="DH176" s="581"/>
      <c r="DI176" s="581"/>
      <c r="DJ176" s="581"/>
      <c r="DK176" s="581"/>
      <c r="DL176" s="581"/>
      <c r="DM176" s="581"/>
      <c r="DN176" s="581"/>
      <c r="DO176" s="581"/>
      <c r="DP176" s="581"/>
      <c r="DQ176" s="581"/>
      <c r="DR176" s="581"/>
      <c r="DS176" s="581"/>
      <c r="DT176" s="581"/>
      <c r="DU176" s="581"/>
      <c r="DV176" s="581"/>
      <c r="DW176" s="581"/>
      <c r="DX176" s="581"/>
      <c r="DY176" s="581"/>
      <c r="DZ176" s="581"/>
      <c r="EA176" s="581"/>
      <c r="EB176" s="581"/>
      <c r="EC176" s="581"/>
      <c r="ED176" s="581"/>
      <c r="EE176" s="581"/>
      <c r="EF176" s="581"/>
      <c r="EG176" s="581"/>
      <c r="EH176" s="581"/>
      <c r="EI176" s="581"/>
      <c r="EJ176" s="581"/>
    </row>
    <row r="177" spans="1:140" ht="15">
      <c r="A177" s="792"/>
      <c r="B177" s="856"/>
      <c r="C177" s="856"/>
      <c r="D177" s="856"/>
      <c r="E177" s="792"/>
      <c r="F177" s="793"/>
      <c r="G177" s="794"/>
      <c r="H177" s="795"/>
      <c r="I177" s="796"/>
      <c r="J177" s="796"/>
      <c r="K177" s="797"/>
      <c r="L177" s="797"/>
      <c r="M177" s="798"/>
      <c r="N177" s="798"/>
      <c r="O177" s="799"/>
      <c r="AG177" s="578"/>
      <c r="AH177" s="578"/>
      <c r="AI177" s="578"/>
      <c r="AJ177" s="578"/>
      <c r="AK177" s="578"/>
      <c r="AL177" s="579"/>
      <c r="AM177" s="580"/>
      <c r="AN177" s="581"/>
      <c r="AO177" s="581"/>
      <c r="AP177" s="579"/>
      <c r="AQ177" s="582"/>
      <c r="AR177" s="581"/>
      <c r="AS177" s="581"/>
      <c r="AT177" s="581"/>
      <c r="AU177" s="581"/>
      <c r="AV177" s="581"/>
      <c r="AW177" s="581"/>
      <c r="AX177" s="581"/>
      <c r="AY177" s="581"/>
      <c r="AZ177" s="581"/>
      <c r="BA177" s="581"/>
      <c r="BB177" s="581"/>
      <c r="BC177" s="581"/>
      <c r="BD177" s="581"/>
      <c r="BE177" s="581"/>
      <c r="BF177" s="581"/>
      <c r="BG177" s="581"/>
      <c r="BH177" s="581"/>
      <c r="BI177" s="581"/>
      <c r="BJ177" s="581"/>
      <c r="BK177" s="581"/>
      <c r="BL177" s="581"/>
      <c r="BM177" s="581"/>
      <c r="BN177" s="581"/>
      <c r="BO177" s="581"/>
      <c r="BP177" s="581"/>
      <c r="BQ177" s="581"/>
      <c r="BR177" s="581"/>
      <c r="BS177" s="581"/>
      <c r="BT177" s="581"/>
      <c r="BU177" s="581"/>
      <c r="BV177" s="581"/>
      <c r="BW177" s="581"/>
      <c r="BX177" s="581"/>
      <c r="BY177" s="581"/>
      <c r="BZ177" s="581"/>
      <c r="CA177" s="581"/>
      <c r="CB177" s="581"/>
      <c r="CC177" s="581"/>
      <c r="CD177" s="581"/>
      <c r="CE177" s="581"/>
      <c r="CF177" s="581"/>
      <c r="CG177" s="581"/>
      <c r="CH177" s="581"/>
      <c r="CI177" s="581"/>
      <c r="CJ177" s="581"/>
      <c r="CK177" s="581"/>
      <c r="CL177" s="581"/>
      <c r="CM177" s="581"/>
      <c r="CN177" s="581"/>
      <c r="CO177" s="581"/>
      <c r="CP177" s="581"/>
      <c r="CQ177" s="581"/>
      <c r="CR177" s="581"/>
      <c r="CS177" s="581"/>
      <c r="CT177" s="581"/>
      <c r="CU177" s="581"/>
      <c r="CV177" s="581"/>
      <c r="CW177" s="581"/>
      <c r="CX177" s="581"/>
      <c r="CY177" s="581"/>
      <c r="CZ177" s="581"/>
      <c r="DA177" s="581"/>
      <c r="DB177" s="581"/>
      <c r="DC177" s="581"/>
      <c r="DD177" s="581"/>
      <c r="DE177" s="581"/>
      <c r="DF177" s="581"/>
      <c r="DG177" s="581"/>
      <c r="DH177" s="581"/>
      <c r="DI177" s="581"/>
      <c r="DJ177" s="581"/>
      <c r="DK177" s="581"/>
      <c r="DL177" s="581"/>
      <c r="DM177" s="581"/>
      <c r="DN177" s="581"/>
      <c r="DO177" s="581"/>
      <c r="DP177" s="581"/>
      <c r="DQ177" s="581"/>
      <c r="DR177" s="581"/>
      <c r="DS177" s="581"/>
      <c r="DT177" s="581"/>
      <c r="DU177" s="581"/>
      <c r="DV177" s="581"/>
      <c r="DW177" s="581"/>
      <c r="DX177" s="581"/>
      <c r="DY177" s="581"/>
      <c r="DZ177" s="581"/>
      <c r="EA177" s="581"/>
      <c r="EB177" s="581"/>
      <c r="EC177" s="581"/>
      <c r="ED177" s="581"/>
      <c r="EE177" s="581"/>
      <c r="EF177" s="581"/>
      <c r="EG177" s="581"/>
      <c r="EH177" s="581"/>
      <c r="EI177" s="581"/>
      <c r="EJ177" s="581"/>
    </row>
    <row r="178" spans="2:140" ht="3.75" customHeight="1">
      <c r="B178" s="600"/>
      <c r="C178" s="600"/>
      <c r="D178" s="600"/>
      <c r="AG178" s="578"/>
      <c r="AH178" s="578"/>
      <c r="AI178" s="578"/>
      <c r="AJ178" s="578"/>
      <c r="AK178" s="578"/>
      <c r="AL178" s="579"/>
      <c r="AM178" s="580"/>
      <c r="AN178" s="581"/>
      <c r="AO178" s="581"/>
      <c r="AP178" s="579"/>
      <c r="AQ178" s="582"/>
      <c r="AR178" s="581"/>
      <c r="AS178" s="581"/>
      <c r="AT178" s="581"/>
      <c r="AU178" s="581"/>
      <c r="AV178" s="581"/>
      <c r="AW178" s="581"/>
      <c r="AX178" s="581"/>
      <c r="AY178" s="581"/>
      <c r="AZ178" s="581"/>
      <c r="BA178" s="581"/>
      <c r="BB178" s="581"/>
      <c r="BC178" s="581"/>
      <c r="BD178" s="581"/>
      <c r="BE178" s="581"/>
      <c r="BF178" s="581"/>
      <c r="BG178" s="581"/>
      <c r="BH178" s="581"/>
      <c r="BI178" s="581"/>
      <c r="BJ178" s="581"/>
      <c r="BK178" s="581"/>
      <c r="BL178" s="581"/>
      <c r="BM178" s="581"/>
      <c r="BN178" s="581"/>
      <c r="BO178" s="581"/>
      <c r="BP178" s="581"/>
      <c r="BQ178" s="581"/>
      <c r="BR178" s="581"/>
      <c r="BS178" s="581"/>
      <c r="BT178" s="581"/>
      <c r="BU178" s="581"/>
      <c r="BV178" s="581"/>
      <c r="BW178" s="581"/>
      <c r="BX178" s="581"/>
      <c r="BY178" s="581"/>
      <c r="BZ178" s="581"/>
      <c r="CA178" s="581"/>
      <c r="CB178" s="581"/>
      <c r="CC178" s="581"/>
      <c r="CD178" s="581"/>
      <c r="CE178" s="581"/>
      <c r="CF178" s="581"/>
      <c r="CG178" s="581"/>
      <c r="CH178" s="581"/>
      <c r="CI178" s="581"/>
      <c r="CJ178" s="581"/>
      <c r="CK178" s="581"/>
      <c r="CL178" s="581"/>
      <c r="CM178" s="581"/>
      <c r="CN178" s="581"/>
      <c r="CO178" s="581"/>
      <c r="CP178" s="581"/>
      <c r="CQ178" s="581"/>
      <c r="CR178" s="581"/>
      <c r="CS178" s="581"/>
      <c r="CT178" s="581"/>
      <c r="CU178" s="581"/>
      <c r="CV178" s="581"/>
      <c r="CW178" s="581"/>
      <c r="CX178" s="581"/>
      <c r="CY178" s="581"/>
      <c r="CZ178" s="581"/>
      <c r="DA178" s="581"/>
      <c r="DB178" s="581"/>
      <c r="DC178" s="581"/>
      <c r="DD178" s="581"/>
      <c r="DE178" s="581"/>
      <c r="DF178" s="581"/>
      <c r="DG178" s="581"/>
      <c r="DH178" s="581"/>
      <c r="DI178" s="581"/>
      <c r="DJ178" s="581"/>
      <c r="DK178" s="581"/>
      <c r="DL178" s="581"/>
      <c r="DM178" s="581"/>
      <c r="DN178" s="581"/>
      <c r="DO178" s="581"/>
      <c r="DP178" s="581"/>
      <c r="DQ178" s="581"/>
      <c r="DR178" s="581"/>
      <c r="DS178" s="581"/>
      <c r="DT178" s="581"/>
      <c r="DU178" s="581"/>
      <c r="DV178" s="581"/>
      <c r="DW178" s="581"/>
      <c r="DX178" s="581"/>
      <c r="DY178" s="581"/>
      <c r="DZ178" s="581"/>
      <c r="EA178" s="581"/>
      <c r="EB178" s="581"/>
      <c r="EC178" s="581"/>
      <c r="ED178" s="581"/>
      <c r="EE178" s="581"/>
      <c r="EF178" s="581"/>
      <c r="EG178" s="581"/>
      <c r="EH178" s="581"/>
      <c r="EI178" s="581"/>
      <c r="EJ178" s="581"/>
    </row>
    <row r="179" spans="1:140" ht="62.25" thickBot="1">
      <c r="A179" s="534" t="s">
        <v>852</v>
      </c>
      <c r="B179" s="535" t="s">
        <v>935</v>
      </c>
      <c r="C179" s="535" t="s">
        <v>946</v>
      </c>
      <c r="D179" s="535" t="s">
        <v>936</v>
      </c>
      <c r="E179" s="535" t="s">
        <v>937</v>
      </c>
      <c r="F179" s="535" t="s">
        <v>4</v>
      </c>
      <c r="G179" s="536" t="s">
        <v>5</v>
      </c>
      <c r="H179" s="537" t="s">
        <v>6</v>
      </c>
      <c r="I179" s="538" t="s">
        <v>7</v>
      </c>
      <c r="J179" s="538" t="s">
        <v>8</v>
      </c>
      <c r="K179" s="539" t="s">
        <v>9</v>
      </c>
      <c r="L179" s="540" t="s">
        <v>10</v>
      </c>
      <c r="M179" s="541" t="s">
        <v>11</v>
      </c>
      <c r="N179" s="541" t="s">
        <v>12</v>
      </c>
      <c r="O179" s="535" t="s">
        <v>13</v>
      </c>
      <c r="AG179" s="578"/>
      <c r="AH179" s="578"/>
      <c r="AI179" s="578"/>
      <c r="AJ179" s="578"/>
      <c r="AK179" s="578"/>
      <c r="AL179" s="579"/>
      <c r="AM179" s="580"/>
      <c r="AN179" s="581"/>
      <c r="AO179" s="581"/>
      <c r="AP179" s="579"/>
      <c r="AQ179" s="582"/>
      <c r="AR179" s="581"/>
      <c r="AS179" s="581"/>
      <c r="AT179" s="581"/>
      <c r="AU179" s="581"/>
      <c r="AV179" s="581"/>
      <c r="AW179" s="581"/>
      <c r="AX179" s="581"/>
      <c r="AY179" s="581"/>
      <c r="AZ179" s="581"/>
      <c r="BA179" s="581"/>
      <c r="BB179" s="581"/>
      <c r="BC179" s="581"/>
      <c r="BD179" s="581"/>
      <c r="BE179" s="581"/>
      <c r="BF179" s="581"/>
      <c r="BG179" s="581"/>
      <c r="BH179" s="581"/>
      <c r="BI179" s="581"/>
      <c r="BJ179" s="581"/>
      <c r="BK179" s="581"/>
      <c r="BL179" s="581"/>
      <c r="BM179" s="581"/>
      <c r="BN179" s="581"/>
      <c r="BO179" s="581"/>
      <c r="BP179" s="581"/>
      <c r="BQ179" s="581"/>
      <c r="BR179" s="581"/>
      <c r="BS179" s="581"/>
      <c r="BT179" s="581"/>
      <c r="BU179" s="581"/>
      <c r="BV179" s="581"/>
      <c r="BW179" s="581"/>
      <c r="BX179" s="581"/>
      <c r="BY179" s="581"/>
      <c r="BZ179" s="581"/>
      <c r="CA179" s="581"/>
      <c r="CB179" s="581"/>
      <c r="CC179" s="581"/>
      <c r="CD179" s="581"/>
      <c r="CE179" s="581"/>
      <c r="CF179" s="581"/>
      <c r="CG179" s="581"/>
      <c r="CH179" s="581"/>
      <c r="CI179" s="581"/>
      <c r="CJ179" s="581"/>
      <c r="CK179" s="581"/>
      <c r="CL179" s="581"/>
      <c r="CM179" s="581"/>
      <c r="CN179" s="581"/>
      <c r="CO179" s="581"/>
      <c r="CP179" s="581"/>
      <c r="CQ179" s="581"/>
      <c r="CR179" s="581"/>
      <c r="CS179" s="581"/>
      <c r="CT179" s="581"/>
      <c r="CU179" s="581"/>
      <c r="CV179" s="581"/>
      <c r="CW179" s="581"/>
      <c r="CX179" s="581"/>
      <c r="CY179" s="581"/>
      <c r="CZ179" s="581"/>
      <c r="DA179" s="581"/>
      <c r="DB179" s="581"/>
      <c r="DC179" s="581"/>
      <c r="DD179" s="581"/>
      <c r="DE179" s="581"/>
      <c r="DF179" s="581"/>
      <c r="DG179" s="581"/>
      <c r="DH179" s="581"/>
      <c r="DI179" s="581"/>
      <c r="DJ179" s="581"/>
      <c r="DK179" s="581"/>
      <c r="DL179" s="581"/>
      <c r="DM179" s="581"/>
      <c r="DN179" s="581"/>
      <c r="DO179" s="581"/>
      <c r="DP179" s="581"/>
      <c r="DQ179" s="581"/>
      <c r="DR179" s="581"/>
      <c r="DS179" s="581"/>
      <c r="DT179" s="581"/>
      <c r="DU179" s="581"/>
      <c r="DV179" s="581"/>
      <c r="DW179" s="581"/>
      <c r="DX179" s="581"/>
      <c r="DY179" s="581"/>
      <c r="DZ179" s="581"/>
      <c r="EA179" s="581"/>
      <c r="EB179" s="581"/>
      <c r="EC179" s="581"/>
      <c r="ED179" s="581"/>
      <c r="EE179" s="581"/>
      <c r="EF179" s="581"/>
      <c r="EG179" s="581"/>
      <c r="EH179" s="581"/>
      <c r="EI179" s="581"/>
      <c r="EJ179" s="581"/>
    </row>
    <row r="180" spans="1:140" ht="25.5" thickBot="1" thickTop="1">
      <c r="A180" s="545" t="s">
        <v>14</v>
      </c>
      <c r="B180" s="853"/>
      <c r="C180" s="853"/>
      <c r="D180" s="853"/>
      <c r="E180" s="545"/>
      <c r="F180" s="546"/>
      <c r="G180" s="547"/>
      <c r="H180" s="548"/>
      <c r="I180" s="549"/>
      <c r="J180" s="549"/>
      <c r="K180" s="550"/>
      <c r="L180" s="550"/>
      <c r="M180" s="551"/>
      <c r="N180" s="551"/>
      <c r="O180" s="552"/>
      <c r="AG180" s="578"/>
      <c r="AH180" s="578"/>
      <c r="AI180" s="578"/>
      <c r="AJ180" s="578"/>
      <c r="AK180" s="578"/>
      <c r="AL180" s="579"/>
      <c r="AM180" s="580"/>
      <c r="AN180" s="581"/>
      <c r="AO180" s="581"/>
      <c r="AP180" s="579"/>
      <c r="AQ180" s="582"/>
      <c r="AR180" s="581"/>
      <c r="AS180" s="581"/>
      <c r="AT180" s="581"/>
      <c r="AU180" s="581"/>
      <c r="AV180" s="581"/>
      <c r="AW180" s="581"/>
      <c r="AX180" s="581"/>
      <c r="AY180" s="581"/>
      <c r="AZ180" s="581"/>
      <c r="BA180" s="581"/>
      <c r="BB180" s="581"/>
      <c r="BC180" s="581"/>
      <c r="BD180" s="581"/>
      <c r="BE180" s="581"/>
      <c r="BF180" s="581"/>
      <c r="BG180" s="581"/>
      <c r="BH180" s="581"/>
      <c r="BI180" s="581"/>
      <c r="BJ180" s="581"/>
      <c r="BK180" s="581"/>
      <c r="BL180" s="581"/>
      <c r="BM180" s="581"/>
      <c r="BN180" s="581"/>
      <c r="BO180" s="581"/>
      <c r="BP180" s="581"/>
      <c r="BQ180" s="581"/>
      <c r="BR180" s="581"/>
      <c r="BS180" s="581"/>
      <c r="BT180" s="581"/>
      <c r="BU180" s="581"/>
      <c r="BV180" s="581"/>
      <c r="BW180" s="581"/>
      <c r="BX180" s="581"/>
      <c r="BY180" s="581"/>
      <c r="BZ180" s="581"/>
      <c r="CA180" s="581"/>
      <c r="CB180" s="581"/>
      <c r="CC180" s="581"/>
      <c r="CD180" s="581"/>
      <c r="CE180" s="581"/>
      <c r="CF180" s="581"/>
      <c r="CG180" s="581"/>
      <c r="CH180" s="581"/>
      <c r="CI180" s="581"/>
      <c r="CJ180" s="581"/>
      <c r="CK180" s="581"/>
      <c r="CL180" s="581"/>
      <c r="CM180" s="581"/>
      <c r="CN180" s="581"/>
      <c r="CO180" s="581"/>
      <c r="CP180" s="581"/>
      <c r="CQ180" s="581"/>
      <c r="CR180" s="581"/>
      <c r="CS180" s="581"/>
      <c r="CT180" s="581"/>
      <c r="CU180" s="581"/>
      <c r="CV180" s="581"/>
      <c r="CW180" s="581"/>
      <c r="CX180" s="581"/>
      <c r="CY180" s="581"/>
      <c r="CZ180" s="581"/>
      <c r="DA180" s="581"/>
      <c r="DB180" s="581"/>
      <c r="DC180" s="581"/>
      <c r="DD180" s="581"/>
      <c r="DE180" s="581"/>
      <c r="DF180" s="581"/>
      <c r="DG180" s="581"/>
      <c r="DH180" s="581"/>
      <c r="DI180" s="581"/>
      <c r="DJ180" s="581"/>
      <c r="DK180" s="581"/>
      <c r="DL180" s="581"/>
      <c r="DM180" s="581"/>
      <c r="DN180" s="581"/>
      <c r="DO180" s="581"/>
      <c r="DP180" s="581"/>
      <c r="DQ180" s="581"/>
      <c r="DR180" s="581"/>
      <c r="DS180" s="581"/>
      <c r="DT180" s="581"/>
      <c r="DU180" s="581"/>
      <c r="DV180" s="581"/>
      <c r="DW180" s="581"/>
      <c r="DX180" s="581"/>
      <c r="DY180" s="581"/>
      <c r="DZ180" s="581"/>
      <c r="EA180" s="581"/>
      <c r="EB180" s="581"/>
      <c r="EC180" s="581"/>
      <c r="ED180" s="581"/>
      <c r="EE180" s="581"/>
      <c r="EF180" s="581"/>
      <c r="EG180" s="581"/>
      <c r="EH180" s="581"/>
      <c r="EI180" s="581"/>
      <c r="EJ180" s="581"/>
    </row>
    <row r="181" spans="1:140" ht="15.75" thickTop="1">
      <c r="A181" s="557" t="s">
        <v>927</v>
      </c>
      <c r="B181" s="557"/>
      <c r="C181" s="557"/>
      <c r="D181" s="557"/>
      <c r="E181" s="557"/>
      <c r="F181" s="558"/>
      <c r="G181" s="559"/>
      <c r="H181" s="560"/>
      <c r="I181" s="561"/>
      <c r="J181" s="561"/>
      <c r="K181" s="562"/>
      <c r="L181" s="562"/>
      <c r="M181" s="563"/>
      <c r="N181" s="563"/>
      <c r="O181" s="564"/>
      <c r="AG181" s="578"/>
      <c r="AH181" s="578"/>
      <c r="AI181" s="578"/>
      <c r="AJ181" s="578"/>
      <c r="AK181" s="578"/>
      <c r="AL181" s="579"/>
      <c r="AM181" s="580"/>
      <c r="AN181" s="581"/>
      <c r="AO181" s="581"/>
      <c r="AP181" s="579"/>
      <c r="AQ181" s="582"/>
      <c r="AR181" s="581"/>
      <c r="AS181" s="581"/>
      <c r="AT181" s="581"/>
      <c r="AU181" s="581"/>
      <c r="AV181" s="581"/>
      <c r="AW181" s="581"/>
      <c r="AX181" s="581"/>
      <c r="AY181" s="581"/>
      <c r="AZ181" s="581"/>
      <c r="BA181" s="581"/>
      <c r="BB181" s="581"/>
      <c r="BC181" s="581"/>
      <c r="BD181" s="581"/>
      <c r="BE181" s="581"/>
      <c r="BF181" s="581"/>
      <c r="BG181" s="581"/>
      <c r="BH181" s="581"/>
      <c r="BI181" s="581"/>
      <c r="BJ181" s="581"/>
      <c r="BK181" s="581"/>
      <c r="BL181" s="581"/>
      <c r="BM181" s="581"/>
      <c r="BN181" s="581"/>
      <c r="BO181" s="581"/>
      <c r="BP181" s="581"/>
      <c r="BQ181" s="581"/>
      <c r="BR181" s="581"/>
      <c r="BS181" s="581"/>
      <c r="BT181" s="581"/>
      <c r="BU181" s="581"/>
      <c r="BV181" s="581"/>
      <c r="BW181" s="581"/>
      <c r="BX181" s="581"/>
      <c r="BY181" s="581"/>
      <c r="BZ181" s="581"/>
      <c r="CA181" s="581"/>
      <c r="CB181" s="581"/>
      <c r="CC181" s="581"/>
      <c r="CD181" s="581"/>
      <c r="CE181" s="581"/>
      <c r="CF181" s="581"/>
      <c r="CG181" s="581"/>
      <c r="CH181" s="581"/>
      <c r="CI181" s="581"/>
      <c r="CJ181" s="581"/>
      <c r="CK181" s="581"/>
      <c r="CL181" s="581"/>
      <c r="CM181" s="581"/>
      <c r="CN181" s="581"/>
      <c r="CO181" s="581"/>
      <c r="CP181" s="581"/>
      <c r="CQ181" s="581"/>
      <c r="CR181" s="581"/>
      <c r="CS181" s="581"/>
      <c r="CT181" s="581"/>
      <c r="CU181" s="581"/>
      <c r="CV181" s="581"/>
      <c r="CW181" s="581"/>
      <c r="CX181" s="581"/>
      <c r="CY181" s="581"/>
      <c r="CZ181" s="581"/>
      <c r="DA181" s="581"/>
      <c r="DB181" s="581"/>
      <c r="DC181" s="581"/>
      <c r="DD181" s="581"/>
      <c r="DE181" s="581"/>
      <c r="DF181" s="581"/>
      <c r="DG181" s="581"/>
      <c r="DH181" s="581"/>
      <c r="DI181" s="581"/>
      <c r="DJ181" s="581"/>
      <c r="DK181" s="581"/>
      <c r="DL181" s="581"/>
      <c r="DM181" s="581"/>
      <c r="DN181" s="581"/>
      <c r="DO181" s="581"/>
      <c r="DP181" s="581"/>
      <c r="DQ181" s="581"/>
      <c r="DR181" s="581"/>
      <c r="DS181" s="581"/>
      <c r="DT181" s="581"/>
      <c r="DU181" s="581"/>
      <c r="DV181" s="581"/>
      <c r="DW181" s="581"/>
      <c r="DX181" s="581"/>
      <c r="DY181" s="581"/>
      <c r="DZ181" s="581"/>
      <c r="EA181" s="581"/>
      <c r="EB181" s="581"/>
      <c r="EC181" s="581"/>
      <c r="ED181" s="581"/>
      <c r="EE181" s="581"/>
      <c r="EF181" s="581"/>
      <c r="EG181" s="581"/>
      <c r="EH181" s="581"/>
      <c r="EI181" s="581"/>
      <c r="EJ181" s="581"/>
    </row>
    <row r="182" spans="1:140" ht="19.5">
      <c r="A182" s="568" t="s">
        <v>16</v>
      </c>
      <c r="B182" s="758"/>
      <c r="C182" s="758"/>
      <c r="D182" s="758"/>
      <c r="E182" s="758"/>
      <c r="F182" s="734"/>
      <c r="G182" s="580"/>
      <c r="H182" s="581"/>
      <c r="I182" s="581"/>
      <c r="J182" s="579"/>
      <c r="K182" s="575"/>
      <c r="L182" s="569"/>
      <c r="M182" s="569"/>
      <c r="N182" s="569"/>
      <c r="O182" s="569"/>
      <c r="AG182" s="578"/>
      <c r="AH182" s="578"/>
      <c r="AI182" s="578"/>
      <c r="AJ182" s="578"/>
      <c r="AK182" s="578"/>
      <c r="AL182" s="579"/>
      <c r="AM182" s="580"/>
      <c r="AN182" s="581"/>
      <c r="AO182" s="581"/>
      <c r="AP182" s="579"/>
      <c r="AQ182" s="582"/>
      <c r="AR182" s="581"/>
      <c r="AS182" s="581"/>
      <c r="AT182" s="581"/>
      <c r="AU182" s="581"/>
      <c r="AV182" s="581"/>
      <c r="AW182" s="581"/>
      <c r="AX182" s="581"/>
      <c r="AY182" s="581"/>
      <c r="AZ182" s="581"/>
      <c r="BA182" s="581"/>
      <c r="BB182" s="581"/>
      <c r="BC182" s="581"/>
      <c r="BD182" s="581"/>
      <c r="BE182" s="581"/>
      <c r="BF182" s="581"/>
      <c r="BG182" s="581"/>
      <c r="BH182" s="581"/>
      <c r="BI182" s="581"/>
      <c r="BJ182" s="581"/>
      <c r="BK182" s="581"/>
      <c r="BL182" s="581"/>
      <c r="BM182" s="581"/>
      <c r="BN182" s="581"/>
      <c r="BO182" s="581"/>
      <c r="BP182" s="581"/>
      <c r="BQ182" s="581"/>
      <c r="BR182" s="581"/>
      <c r="BS182" s="581"/>
      <c r="BT182" s="581"/>
      <c r="BU182" s="581"/>
      <c r="BV182" s="581"/>
      <c r="BW182" s="581"/>
      <c r="BX182" s="581"/>
      <c r="BY182" s="581"/>
      <c r="BZ182" s="581"/>
      <c r="CA182" s="581"/>
      <c r="CB182" s="581"/>
      <c r="CC182" s="581"/>
      <c r="CD182" s="581"/>
      <c r="CE182" s="581"/>
      <c r="CF182" s="581"/>
      <c r="CG182" s="581"/>
      <c r="CH182" s="581"/>
      <c r="CI182" s="581"/>
      <c r="CJ182" s="581"/>
      <c r="CK182" s="581"/>
      <c r="CL182" s="581"/>
      <c r="CM182" s="581"/>
      <c r="CN182" s="581"/>
      <c r="CO182" s="581"/>
      <c r="CP182" s="581"/>
      <c r="CQ182" s="581"/>
      <c r="CR182" s="581"/>
      <c r="CS182" s="581"/>
      <c r="CT182" s="581"/>
      <c r="CU182" s="581"/>
      <c r="CV182" s="581"/>
      <c r="CW182" s="581"/>
      <c r="CX182" s="581"/>
      <c r="CY182" s="581"/>
      <c r="CZ182" s="581"/>
      <c r="DA182" s="581"/>
      <c r="DB182" s="581"/>
      <c r="DC182" s="581"/>
      <c r="DD182" s="581"/>
      <c r="DE182" s="581"/>
      <c r="DF182" s="581"/>
      <c r="DG182" s="581"/>
      <c r="DH182" s="581"/>
      <c r="DI182" s="581"/>
      <c r="DJ182" s="581"/>
      <c r="DK182" s="581"/>
      <c r="DL182" s="581"/>
      <c r="DM182" s="581"/>
      <c r="DN182" s="581"/>
      <c r="DO182" s="581"/>
      <c r="DP182" s="581"/>
      <c r="DQ182" s="581"/>
      <c r="DR182" s="581"/>
      <c r="DS182" s="581"/>
      <c r="DT182" s="581"/>
      <c r="DU182" s="581"/>
      <c r="DV182" s="581"/>
      <c r="DW182" s="581"/>
      <c r="DX182" s="581"/>
      <c r="DY182" s="581"/>
      <c r="DZ182" s="581"/>
      <c r="EA182" s="581"/>
      <c r="EB182" s="581"/>
      <c r="EC182" s="581"/>
      <c r="ED182" s="581"/>
      <c r="EE182" s="581"/>
      <c r="EF182" s="581"/>
      <c r="EG182" s="581"/>
      <c r="EH182" s="581"/>
      <c r="EI182" s="581"/>
      <c r="EJ182" s="581"/>
    </row>
    <row r="183" spans="1:140" ht="108">
      <c r="A183" s="801" t="s">
        <v>854</v>
      </c>
      <c r="B183" s="758" t="s">
        <v>952</v>
      </c>
      <c r="C183" s="842" t="s">
        <v>951</v>
      </c>
      <c r="D183" s="758" t="s">
        <v>719</v>
      </c>
      <c r="E183" s="849" t="s">
        <v>348</v>
      </c>
      <c r="F183" s="601">
        <f>Hardware!E12</f>
        <v>673.90625</v>
      </c>
      <c r="G183" s="602">
        <v>319092</v>
      </c>
      <c r="H183" s="603"/>
      <c r="I183" s="603"/>
      <c r="J183" s="601">
        <f>SUM(F183/K183)*G183</f>
        <v>35839682.1875</v>
      </c>
      <c r="K183" s="575">
        <v>6</v>
      </c>
      <c r="L183" s="569"/>
      <c r="M183" s="569"/>
      <c r="N183" s="569"/>
      <c r="O183" s="569"/>
      <c r="AG183" s="578"/>
      <c r="AH183" s="578"/>
      <c r="AI183" s="578"/>
      <c r="AJ183" s="578"/>
      <c r="AK183" s="578"/>
      <c r="AL183" s="579"/>
      <c r="AM183" s="580"/>
      <c r="AN183" s="581"/>
      <c r="AO183" s="581"/>
      <c r="AP183" s="579"/>
      <c r="AQ183" s="582"/>
      <c r="AR183" s="581"/>
      <c r="AS183" s="581"/>
      <c r="AT183" s="581"/>
      <c r="AU183" s="581"/>
      <c r="AV183" s="581"/>
      <c r="AW183" s="581"/>
      <c r="AX183" s="581"/>
      <c r="AY183" s="581"/>
      <c r="AZ183" s="581"/>
      <c r="BA183" s="581"/>
      <c r="BB183" s="581"/>
      <c r="BC183" s="581"/>
      <c r="BD183" s="581"/>
      <c r="BE183" s="581"/>
      <c r="BF183" s="581"/>
      <c r="BG183" s="581"/>
      <c r="BH183" s="581"/>
      <c r="BI183" s="581"/>
      <c r="BJ183" s="581"/>
      <c r="BK183" s="581"/>
      <c r="BL183" s="581"/>
      <c r="BM183" s="581"/>
      <c r="BN183" s="581"/>
      <c r="BO183" s="581"/>
      <c r="BP183" s="581"/>
      <c r="BQ183" s="581"/>
      <c r="BR183" s="581"/>
      <c r="BS183" s="581"/>
      <c r="BT183" s="581"/>
      <c r="BU183" s="581"/>
      <c r="BV183" s="581"/>
      <c r="BW183" s="581"/>
      <c r="BX183" s="581"/>
      <c r="BY183" s="581"/>
      <c r="BZ183" s="581"/>
      <c r="CA183" s="581"/>
      <c r="CB183" s="581"/>
      <c r="CC183" s="581"/>
      <c r="CD183" s="581"/>
      <c r="CE183" s="581"/>
      <c r="CF183" s="581"/>
      <c r="CG183" s="581"/>
      <c r="CH183" s="581"/>
      <c r="CI183" s="581"/>
      <c r="CJ183" s="581"/>
      <c r="CK183" s="581"/>
      <c r="CL183" s="581"/>
      <c r="CM183" s="581"/>
      <c r="CN183" s="581"/>
      <c r="CO183" s="581"/>
      <c r="CP183" s="581"/>
      <c r="CQ183" s="581"/>
      <c r="CR183" s="581"/>
      <c r="CS183" s="581"/>
      <c r="CT183" s="581"/>
      <c r="CU183" s="581"/>
      <c r="CV183" s="581"/>
      <c r="CW183" s="581"/>
      <c r="CX183" s="581"/>
      <c r="CY183" s="581"/>
      <c r="CZ183" s="581"/>
      <c r="DA183" s="581"/>
      <c r="DB183" s="581"/>
      <c r="DC183" s="581"/>
      <c r="DD183" s="581"/>
      <c r="DE183" s="581"/>
      <c r="DF183" s="581"/>
      <c r="DG183" s="581"/>
      <c r="DH183" s="581"/>
      <c r="DI183" s="581"/>
      <c r="DJ183" s="581"/>
      <c r="DK183" s="581"/>
      <c r="DL183" s="581"/>
      <c r="DM183" s="581"/>
      <c r="DN183" s="581"/>
      <c r="DO183" s="581"/>
      <c r="DP183" s="581"/>
      <c r="DQ183" s="581"/>
      <c r="DR183" s="581"/>
      <c r="DS183" s="581"/>
      <c r="DT183" s="581"/>
      <c r="DU183" s="581"/>
      <c r="DV183" s="581"/>
      <c r="DW183" s="581"/>
      <c r="DX183" s="581"/>
      <c r="DY183" s="581"/>
      <c r="DZ183" s="581"/>
      <c r="EA183" s="581"/>
      <c r="EB183" s="581"/>
      <c r="EC183" s="581"/>
      <c r="ED183" s="581"/>
      <c r="EE183" s="581"/>
      <c r="EF183" s="581"/>
      <c r="EG183" s="581"/>
      <c r="EH183" s="581"/>
      <c r="EI183" s="581"/>
      <c r="EJ183" s="581"/>
    </row>
    <row r="184" spans="1:140" ht="19.5">
      <c r="A184" s="622" t="s">
        <v>26</v>
      </c>
      <c r="B184" s="758"/>
      <c r="C184" s="758"/>
      <c r="D184" s="758"/>
      <c r="E184" s="849"/>
      <c r="F184" s="734"/>
      <c r="G184" s="597"/>
      <c r="H184" s="544"/>
      <c r="I184" s="544"/>
      <c r="J184" s="596"/>
      <c r="K184" s="575"/>
      <c r="L184" s="569"/>
      <c r="M184" s="569"/>
      <c r="N184" s="569"/>
      <c r="O184" s="569"/>
      <c r="AG184" s="578"/>
      <c r="AH184" s="578"/>
      <c r="AI184" s="578"/>
      <c r="AJ184" s="578"/>
      <c r="AK184" s="578"/>
      <c r="AL184" s="579"/>
      <c r="AM184" s="580"/>
      <c r="AN184" s="581"/>
      <c r="AO184" s="581"/>
      <c r="AP184" s="579"/>
      <c r="AQ184" s="582"/>
      <c r="AR184" s="581"/>
      <c r="AS184" s="581"/>
      <c r="AT184" s="581"/>
      <c r="AU184" s="581"/>
      <c r="AV184" s="581"/>
      <c r="AW184" s="581"/>
      <c r="AX184" s="581"/>
      <c r="AY184" s="581"/>
      <c r="AZ184" s="581"/>
      <c r="BA184" s="581"/>
      <c r="BB184" s="581"/>
      <c r="BC184" s="581"/>
      <c r="BD184" s="581"/>
      <c r="BE184" s="581"/>
      <c r="BF184" s="581"/>
      <c r="BG184" s="581"/>
      <c r="BH184" s="581"/>
      <c r="BI184" s="581"/>
      <c r="BJ184" s="581"/>
      <c r="BK184" s="581"/>
      <c r="BL184" s="581"/>
      <c r="BM184" s="581"/>
      <c r="BN184" s="581"/>
      <c r="BO184" s="581"/>
      <c r="BP184" s="581"/>
      <c r="BQ184" s="581"/>
      <c r="BR184" s="581"/>
      <c r="BS184" s="581"/>
      <c r="BT184" s="581"/>
      <c r="BU184" s="581"/>
      <c r="BV184" s="581"/>
      <c r="BW184" s="581"/>
      <c r="BX184" s="581"/>
      <c r="BY184" s="581"/>
      <c r="BZ184" s="581"/>
      <c r="CA184" s="581"/>
      <c r="CB184" s="581"/>
      <c r="CC184" s="581"/>
      <c r="CD184" s="581"/>
      <c r="CE184" s="581"/>
      <c r="CF184" s="581"/>
      <c r="CG184" s="581"/>
      <c r="CH184" s="581"/>
      <c r="CI184" s="581"/>
      <c r="CJ184" s="581"/>
      <c r="CK184" s="581"/>
      <c r="CL184" s="581"/>
      <c r="CM184" s="581"/>
      <c r="CN184" s="581"/>
      <c r="CO184" s="581"/>
      <c r="CP184" s="581"/>
      <c r="CQ184" s="581"/>
      <c r="CR184" s="581"/>
      <c r="CS184" s="581"/>
      <c r="CT184" s="581"/>
      <c r="CU184" s="581"/>
      <c r="CV184" s="581"/>
      <c r="CW184" s="581"/>
      <c r="CX184" s="581"/>
      <c r="CY184" s="581"/>
      <c r="CZ184" s="581"/>
      <c r="DA184" s="581"/>
      <c r="DB184" s="581"/>
      <c r="DC184" s="581"/>
      <c r="DD184" s="581"/>
      <c r="DE184" s="581"/>
      <c r="DF184" s="581"/>
      <c r="DG184" s="581"/>
      <c r="DH184" s="581"/>
      <c r="DI184" s="581"/>
      <c r="DJ184" s="581"/>
      <c r="DK184" s="581"/>
      <c r="DL184" s="581"/>
      <c r="DM184" s="581"/>
      <c r="DN184" s="581"/>
      <c r="DO184" s="581"/>
      <c r="DP184" s="581"/>
      <c r="DQ184" s="581"/>
      <c r="DR184" s="581"/>
      <c r="DS184" s="581"/>
      <c r="DT184" s="581"/>
      <c r="DU184" s="581"/>
      <c r="DV184" s="581"/>
      <c r="DW184" s="581"/>
      <c r="DX184" s="581"/>
      <c r="DY184" s="581"/>
      <c r="DZ184" s="581"/>
      <c r="EA184" s="581"/>
      <c r="EB184" s="581"/>
      <c r="EC184" s="581"/>
      <c r="ED184" s="581"/>
      <c r="EE184" s="581"/>
      <c r="EF184" s="581"/>
      <c r="EG184" s="581"/>
      <c r="EH184" s="581"/>
      <c r="EI184" s="581"/>
      <c r="EJ184" s="581"/>
    </row>
    <row r="185" spans="1:140" ht="108">
      <c r="A185" s="801" t="s">
        <v>858</v>
      </c>
      <c r="B185" s="763" t="s">
        <v>743</v>
      </c>
      <c r="C185" s="842" t="s">
        <v>1</v>
      </c>
      <c r="D185" s="758">
        <v>3</v>
      </c>
      <c r="E185" s="849" t="s">
        <v>350</v>
      </c>
      <c r="F185" s="734">
        <f>Hardware!B47</f>
        <v>2402.3133333333335</v>
      </c>
      <c r="G185" s="602">
        <v>4116</v>
      </c>
      <c r="H185" s="603"/>
      <c r="I185" s="603"/>
      <c r="J185" s="601">
        <f>SUM(F185/K185)*G185</f>
        <v>1647986.9466666668</v>
      </c>
      <c r="K185" s="575">
        <v>6</v>
      </c>
      <c r="L185" s="569"/>
      <c r="M185" s="569"/>
      <c r="N185" s="569"/>
      <c r="O185" s="569"/>
      <c r="AG185" s="578"/>
      <c r="AH185" s="578"/>
      <c r="AI185" s="578"/>
      <c r="AJ185" s="578"/>
      <c r="AK185" s="578"/>
      <c r="AL185" s="579"/>
      <c r="AM185" s="580"/>
      <c r="AN185" s="581"/>
      <c r="AO185" s="581"/>
      <c r="AP185" s="579"/>
      <c r="AQ185" s="582"/>
      <c r="AR185" s="581"/>
      <c r="AS185" s="581"/>
      <c r="AT185" s="581"/>
      <c r="AU185" s="581"/>
      <c r="AV185" s="581"/>
      <c r="AW185" s="581"/>
      <c r="AX185" s="581"/>
      <c r="AY185" s="581"/>
      <c r="AZ185" s="581"/>
      <c r="BA185" s="581"/>
      <c r="BB185" s="581"/>
      <c r="BC185" s="581"/>
      <c r="BD185" s="581"/>
      <c r="BE185" s="581"/>
      <c r="BF185" s="581"/>
      <c r="BG185" s="581"/>
      <c r="BH185" s="581"/>
      <c r="BI185" s="581"/>
      <c r="BJ185" s="581"/>
      <c r="BK185" s="581"/>
      <c r="BL185" s="581"/>
      <c r="BM185" s="581"/>
      <c r="BN185" s="581"/>
      <c r="BO185" s="581"/>
      <c r="BP185" s="581"/>
      <c r="BQ185" s="581"/>
      <c r="BR185" s="581"/>
      <c r="BS185" s="581"/>
      <c r="BT185" s="581"/>
      <c r="BU185" s="581"/>
      <c r="BV185" s="581"/>
      <c r="BW185" s="581"/>
      <c r="BX185" s="581"/>
      <c r="BY185" s="581"/>
      <c r="BZ185" s="581"/>
      <c r="CA185" s="581"/>
      <c r="CB185" s="581"/>
      <c r="CC185" s="581"/>
      <c r="CD185" s="581"/>
      <c r="CE185" s="581"/>
      <c r="CF185" s="581"/>
      <c r="CG185" s="581"/>
      <c r="CH185" s="581"/>
      <c r="CI185" s="581"/>
      <c r="CJ185" s="581"/>
      <c r="CK185" s="581"/>
      <c r="CL185" s="581"/>
      <c r="CM185" s="581"/>
      <c r="CN185" s="581"/>
      <c r="CO185" s="581"/>
      <c r="CP185" s="581"/>
      <c r="CQ185" s="581"/>
      <c r="CR185" s="581"/>
      <c r="CS185" s="581"/>
      <c r="CT185" s="581"/>
      <c r="CU185" s="581"/>
      <c r="CV185" s="581"/>
      <c r="CW185" s="581"/>
      <c r="CX185" s="581"/>
      <c r="CY185" s="581"/>
      <c r="CZ185" s="581"/>
      <c r="DA185" s="581"/>
      <c r="DB185" s="581"/>
      <c r="DC185" s="581"/>
      <c r="DD185" s="581"/>
      <c r="DE185" s="581"/>
      <c r="DF185" s="581"/>
      <c r="DG185" s="581"/>
      <c r="DH185" s="581"/>
      <c r="DI185" s="581"/>
      <c r="DJ185" s="581"/>
      <c r="DK185" s="581"/>
      <c r="DL185" s="581"/>
      <c r="DM185" s="581"/>
      <c r="DN185" s="581"/>
      <c r="DO185" s="581"/>
      <c r="DP185" s="581"/>
      <c r="DQ185" s="581"/>
      <c r="DR185" s="581"/>
      <c r="DS185" s="581"/>
      <c r="DT185" s="581"/>
      <c r="DU185" s="581"/>
      <c r="DV185" s="581"/>
      <c r="DW185" s="581"/>
      <c r="DX185" s="581"/>
      <c r="DY185" s="581"/>
      <c r="DZ185" s="581"/>
      <c r="EA185" s="581"/>
      <c r="EB185" s="581"/>
      <c r="EC185" s="581"/>
      <c r="ED185" s="581"/>
      <c r="EE185" s="581"/>
      <c r="EF185" s="581"/>
      <c r="EG185" s="581"/>
      <c r="EH185" s="581"/>
      <c r="EI185" s="581"/>
      <c r="EJ185" s="581"/>
    </row>
    <row r="186" spans="1:140" ht="30.75">
      <c r="A186" s="801" t="s">
        <v>859</v>
      </c>
      <c r="B186" s="758"/>
      <c r="C186" s="758"/>
      <c r="D186" s="758"/>
      <c r="E186" s="849"/>
      <c r="F186" s="734"/>
      <c r="G186" s="800"/>
      <c r="H186" s="569"/>
      <c r="I186" s="569"/>
      <c r="J186" s="734"/>
      <c r="K186" s="575"/>
      <c r="L186" s="569"/>
      <c r="M186" s="569"/>
      <c r="N186" s="569"/>
      <c r="O186" s="569"/>
      <c r="AG186" s="578"/>
      <c r="AH186" s="578"/>
      <c r="AI186" s="578"/>
      <c r="AJ186" s="578"/>
      <c r="AK186" s="578"/>
      <c r="AL186" s="579"/>
      <c r="AM186" s="580"/>
      <c r="AN186" s="581"/>
      <c r="AO186" s="581"/>
      <c r="AP186" s="579"/>
      <c r="AQ186" s="582"/>
      <c r="AR186" s="581"/>
      <c r="AS186" s="581"/>
      <c r="AT186" s="581"/>
      <c r="AU186" s="581"/>
      <c r="AV186" s="581"/>
      <c r="AW186" s="581"/>
      <c r="AX186" s="581"/>
      <c r="AY186" s="581"/>
      <c r="AZ186" s="581"/>
      <c r="BA186" s="581"/>
      <c r="BB186" s="581"/>
      <c r="BC186" s="581"/>
      <c r="BD186" s="581"/>
      <c r="BE186" s="581"/>
      <c r="BF186" s="581"/>
      <c r="BG186" s="581"/>
      <c r="BH186" s="581"/>
      <c r="BI186" s="581"/>
      <c r="BJ186" s="581"/>
      <c r="BK186" s="581"/>
      <c r="BL186" s="581"/>
      <c r="BM186" s="581"/>
      <c r="BN186" s="581"/>
      <c r="BO186" s="581"/>
      <c r="BP186" s="581"/>
      <c r="BQ186" s="581"/>
      <c r="BR186" s="581"/>
      <c r="BS186" s="581"/>
      <c r="BT186" s="581"/>
      <c r="BU186" s="581"/>
      <c r="BV186" s="581"/>
      <c r="BW186" s="581"/>
      <c r="BX186" s="581"/>
      <c r="BY186" s="581"/>
      <c r="BZ186" s="581"/>
      <c r="CA186" s="581"/>
      <c r="CB186" s="581"/>
      <c r="CC186" s="581"/>
      <c r="CD186" s="581"/>
      <c r="CE186" s="581"/>
      <c r="CF186" s="581"/>
      <c r="CG186" s="581"/>
      <c r="CH186" s="581"/>
      <c r="CI186" s="581"/>
      <c r="CJ186" s="581"/>
      <c r="CK186" s="581"/>
      <c r="CL186" s="581"/>
      <c r="CM186" s="581"/>
      <c r="CN186" s="581"/>
      <c r="CO186" s="581"/>
      <c r="CP186" s="581"/>
      <c r="CQ186" s="581"/>
      <c r="CR186" s="581"/>
      <c r="CS186" s="581"/>
      <c r="CT186" s="581"/>
      <c r="CU186" s="581"/>
      <c r="CV186" s="581"/>
      <c r="CW186" s="581"/>
      <c r="CX186" s="581"/>
      <c r="CY186" s="581"/>
      <c r="CZ186" s="581"/>
      <c r="DA186" s="581"/>
      <c r="DB186" s="581"/>
      <c r="DC186" s="581"/>
      <c r="DD186" s="581"/>
      <c r="DE186" s="581"/>
      <c r="DF186" s="581"/>
      <c r="DG186" s="581"/>
      <c r="DH186" s="581"/>
      <c r="DI186" s="581"/>
      <c r="DJ186" s="581"/>
      <c r="DK186" s="581"/>
      <c r="DL186" s="581"/>
      <c r="DM186" s="581"/>
      <c r="DN186" s="581"/>
      <c r="DO186" s="581"/>
      <c r="DP186" s="581"/>
      <c r="DQ186" s="581"/>
      <c r="DR186" s="581"/>
      <c r="DS186" s="581"/>
      <c r="DT186" s="581"/>
      <c r="DU186" s="581"/>
      <c r="DV186" s="581"/>
      <c r="DW186" s="581"/>
      <c r="DX186" s="581"/>
      <c r="DY186" s="581"/>
      <c r="DZ186" s="581"/>
      <c r="EA186" s="581"/>
      <c r="EB186" s="581"/>
      <c r="EC186" s="581"/>
      <c r="ED186" s="581"/>
      <c r="EE186" s="581"/>
      <c r="EF186" s="581"/>
      <c r="EG186" s="581"/>
      <c r="EH186" s="581"/>
      <c r="EI186" s="581"/>
      <c r="EJ186" s="581"/>
    </row>
    <row r="187" spans="1:140" ht="22.5">
      <c r="A187" s="631" t="s">
        <v>31</v>
      </c>
      <c r="B187" s="758"/>
      <c r="C187" s="732"/>
      <c r="D187" s="732"/>
      <c r="E187" s="843"/>
      <c r="F187" s="806"/>
      <c r="G187" s="819"/>
      <c r="H187" s="820"/>
      <c r="I187" s="820"/>
      <c r="J187" s="821"/>
      <c r="K187" s="807"/>
      <c r="L187" s="688"/>
      <c r="M187" s="688"/>
      <c r="N187" s="688"/>
      <c r="O187" s="688"/>
      <c r="AG187" s="578"/>
      <c r="AH187" s="578"/>
      <c r="AI187" s="578"/>
      <c r="AJ187" s="578"/>
      <c r="AK187" s="578"/>
      <c r="AL187" s="579"/>
      <c r="AM187" s="580"/>
      <c r="AN187" s="581"/>
      <c r="AO187" s="581"/>
      <c r="AP187" s="579"/>
      <c r="AQ187" s="582"/>
      <c r="AR187" s="581"/>
      <c r="AS187" s="581"/>
      <c r="AT187" s="581"/>
      <c r="AU187" s="581"/>
      <c r="AV187" s="581"/>
      <c r="AW187" s="581"/>
      <c r="AX187" s="581"/>
      <c r="AY187" s="581"/>
      <c r="AZ187" s="581"/>
      <c r="BA187" s="581"/>
      <c r="BB187" s="581"/>
      <c r="BC187" s="581"/>
      <c r="BD187" s="581"/>
      <c r="BE187" s="581"/>
      <c r="BF187" s="581"/>
      <c r="BG187" s="581"/>
      <c r="BH187" s="581"/>
      <c r="BI187" s="581"/>
      <c r="BJ187" s="581"/>
      <c r="BK187" s="581"/>
      <c r="BL187" s="581"/>
      <c r="BM187" s="581"/>
      <c r="BN187" s="581"/>
      <c r="BO187" s="581"/>
      <c r="BP187" s="581"/>
      <c r="BQ187" s="581"/>
      <c r="BR187" s="581"/>
      <c r="BS187" s="581"/>
      <c r="BT187" s="581"/>
      <c r="BU187" s="581"/>
      <c r="BV187" s="581"/>
      <c r="BW187" s="581"/>
      <c r="BX187" s="581"/>
      <c r="BY187" s="581"/>
      <c r="BZ187" s="581"/>
      <c r="CA187" s="581"/>
      <c r="CB187" s="581"/>
      <c r="CC187" s="581"/>
      <c r="CD187" s="581"/>
      <c r="CE187" s="581"/>
      <c r="CF187" s="581"/>
      <c r="CG187" s="581"/>
      <c r="CH187" s="581"/>
      <c r="CI187" s="581"/>
      <c r="CJ187" s="581"/>
      <c r="CK187" s="581"/>
      <c r="CL187" s="581"/>
      <c r="CM187" s="581"/>
      <c r="CN187" s="581"/>
      <c r="CO187" s="581"/>
      <c r="CP187" s="581"/>
      <c r="CQ187" s="581"/>
      <c r="CR187" s="581"/>
      <c r="CS187" s="581"/>
      <c r="CT187" s="581"/>
      <c r="CU187" s="581"/>
      <c r="CV187" s="581"/>
      <c r="CW187" s="581"/>
      <c r="CX187" s="581"/>
      <c r="CY187" s="581"/>
      <c r="CZ187" s="581"/>
      <c r="DA187" s="581"/>
      <c r="DB187" s="581"/>
      <c r="DC187" s="581"/>
      <c r="DD187" s="581"/>
      <c r="DE187" s="581"/>
      <c r="DF187" s="581"/>
      <c r="DG187" s="581"/>
      <c r="DH187" s="581"/>
      <c r="DI187" s="581"/>
      <c r="DJ187" s="581"/>
      <c r="DK187" s="581"/>
      <c r="DL187" s="581"/>
      <c r="DM187" s="581"/>
      <c r="DN187" s="581"/>
      <c r="DO187" s="581"/>
      <c r="DP187" s="581"/>
      <c r="DQ187" s="581"/>
      <c r="DR187" s="581"/>
      <c r="DS187" s="581"/>
      <c r="DT187" s="581"/>
      <c r="DU187" s="581"/>
      <c r="DV187" s="581"/>
      <c r="DW187" s="581"/>
      <c r="DX187" s="581"/>
      <c r="DY187" s="581"/>
      <c r="DZ187" s="581"/>
      <c r="EA187" s="581"/>
      <c r="EB187" s="581"/>
      <c r="EC187" s="581"/>
      <c r="ED187" s="581"/>
      <c r="EE187" s="581"/>
      <c r="EF187" s="581"/>
      <c r="EG187" s="581"/>
      <c r="EH187" s="581"/>
      <c r="EI187" s="581"/>
      <c r="EJ187" s="581"/>
    </row>
    <row r="188" spans="1:140" ht="15">
      <c r="A188" s="557" t="s">
        <v>928</v>
      </c>
      <c r="B188" s="758"/>
      <c r="C188" s="758"/>
      <c r="D188" s="758"/>
      <c r="E188" s="849"/>
      <c r="F188" s="734"/>
      <c r="G188" s="580"/>
      <c r="H188" s="581"/>
      <c r="I188" s="581"/>
      <c r="J188" s="579"/>
      <c r="K188" s="575"/>
      <c r="L188" s="569"/>
      <c r="M188" s="569"/>
      <c r="N188" s="569"/>
      <c r="O188" s="569"/>
      <c r="AG188" s="578"/>
      <c r="AH188" s="578"/>
      <c r="AI188" s="578"/>
      <c r="AJ188" s="578"/>
      <c r="AK188" s="578"/>
      <c r="AL188" s="579"/>
      <c r="AM188" s="580"/>
      <c r="AN188" s="581"/>
      <c r="AO188" s="581"/>
      <c r="AP188" s="579"/>
      <c r="AQ188" s="582"/>
      <c r="AR188" s="581"/>
      <c r="AS188" s="581"/>
      <c r="AT188" s="581"/>
      <c r="AU188" s="581"/>
      <c r="AV188" s="581"/>
      <c r="AW188" s="581"/>
      <c r="AX188" s="581"/>
      <c r="AY188" s="581"/>
      <c r="AZ188" s="581"/>
      <c r="BA188" s="581"/>
      <c r="BB188" s="581"/>
      <c r="BC188" s="581"/>
      <c r="BD188" s="581"/>
      <c r="BE188" s="581"/>
      <c r="BF188" s="581"/>
      <c r="BG188" s="581"/>
      <c r="BH188" s="581"/>
      <c r="BI188" s="581"/>
      <c r="BJ188" s="581"/>
      <c r="BK188" s="581"/>
      <c r="BL188" s="581"/>
      <c r="BM188" s="581"/>
      <c r="BN188" s="581"/>
      <c r="BO188" s="581"/>
      <c r="BP188" s="581"/>
      <c r="BQ188" s="581"/>
      <c r="BR188" s="581"/>
      <c r="BS188" s="581"/>
      <c r="BT188" s="581"/>
      <c r="BU188" s="581"/>
      <c r="BV188" s="581"/>
      <c r="BW188" s="581"/>
      <c r="BX188" s="581"/>
      <c r="BY188" s="581"/>
      <c r="BZ188" s="581"/>
      <c r="CA188" s="581"/>
      <c r="CB188" s="581"/>
      <c r="CC188" s="581"/>
      <c r="CD188" s="581"/>
      <c r="CE188" s="581"/>
      <c r="CF188" s="581"/>
      <c r="CG188" s="581"/>
      <c r="CH188" s="581"/>
      <c r="CI188" s="581"/>
      <c r="CJ188" s="581"/>
      <c r="CK188" s="581"/>
      <c r="CL188" s="581"/>
      <c r="CM188" s="581"/>
      <c r="CN188" s="581"/>
      <c r="CO188" s="581"/>
      <c r="CP188" s="581"/>
      <c r="CQ188" s="581"/>
      <c r="CR188" s="581"/>
      <c r="CS188" s="581"/>
      <c r="CT188" s="581"/>
      <c r="CU188" s="581"/>
      <c r="CV188" s="581"/>
      <c r="CW188" s="581"/>
      <c r="CX188" s="581"/>
      <c r="CY188" s="581"/>
      <c r="CZ188" s="581"/>
      <c r="DA188" s="581"/>
      <c r="DB188" s="581"/>
      <c r="DC188" s="581"/>
      <c r="DD188" s="581"/>
      <c r="DE188" s="581"/>
      <c r="DF188" s="581"/>
      <c r="DG188" s="581"/>
      <c r="DH188" s="581"/>
      <c r="DI188" s="581"/>
      <c r="DJ188" s="581"/>
      <c r="DK188" s="581"/>
      <c r="DL188" s="581"/>
      <c r="DM188" s="581"/>
      <c r="DN188" s="581"/>
      <c r="DO188" s="581"/>
      <c r="DP188" s="581"/>
      <c r="DQ188" s="581"/>
      <c r="DR188" s="581"/>
      <c r="DS188" s="581"/>
      <c r="DT188" s="581"/>
      <c r="DU188" s="581"/>
      <c r="DV188" s="581"/>
      <c r="DW188" s="581"/>
      <c r="DX188" s="581"/>
      <c r="DY188" s="581"/>
      <c r="DZ188" s="581"/>
      <c r="EA188" s="581"/>
      <c r="EB188" s="581"/>
      <c r="EC188" s="581"/>
      <c r="ED188" s="581"/>
      <c r="EE188" s="581"/>
      <c r="EF188" s="581"/>
      <c r="EG188" s="581"/>
      <c r="EH188" s="581"/>
      <c r="EI188" s="581"/>
      <c r="EJ188" s="581"/>
    </row>
    <row r="189" spans="1:140" ht="93">
      <c r="A189" s="801" t="s">
        <v>724</v>
      </c>
      <c r="B189" s="758" t="s">
        <v>945</v>
      </c>
      <c r="C189" s="808" t="s">
        <v>807</v>
      </c>
      <c r="D189" s="758" t="s">
        <v>725</v>
      </c>
      <c r="E189" s="849"/>
      <c r="F189" s="734">
        <f>F22</f>
        <v>240</v>
      </c>
      <c r="G189" s="602">
        <f>((556545)-SUM(G22:G27))</f>
        <v>90969.12849999999</v>
      </c>
      <c r="H189" s="603"/>
      <c r="I189" s="603"/>
      <c r="J189" s="601">
        <f>SUM(F189/K189)*G189</f>
        <v>1091629.542</v>
      </c>
      <c r="K189" s="575">
        <v>20</v>
      </c>
      <c r="L189" s="569"/>
      <c r="M189" s="569"/>
      <c r="N189" s="569"/>
      <c r="O189" s="569"/>
      <c r="AG189" s="578"/>
      <c r="AH189" s="578"/>
      <c r="AI189" s="578"/>
      <c r="AJ189" s="578"/>
      <c r="AK189" s="578"/>
      <c r="AL189" s="579"/>
      <c r="AM189" s="580"/>
      <c r="AN189" s="581"/>
      <c r="AO189" s="581"/>
      <c r="AP189" s="579"/>
      <c r="AQ189" s="582"/>
      <c r="AR189" s="581"/>
      <c r="AS189" s="581"/>
      <c r="AT189" s="581"/>
      <c r="AU189" s="581"/>
      <c r="AV189" s="581"/>
      <c r="AW189" s="581"/>
      <c r="AX189" s="581"/>
      <c r="AY189" s="581"/>
      <c r="AZ189" s="581"/>
      <c r="BA189" s="581"/>
      <c r="BB189" s="581"/>
      <c r="BC189" s="581"/>
      <c r="BD189" s="581"/>
      <c r="BE189" s="581"/>
      <c r="BF189" s="581"/>
      <c r="BG189" s="581"/>
      <c r="BH189" s="581"/>
      <c r="BI189" s="581"/>
      <c r="BJ189" s="581"/>
      <c r="BK189" s="581"/>
      <c r="BL189" s="581"/>
      <c r="BM189" s="581"/>
      <c r="BN189" s="581"/>
      <c r="BO189" s="581"/>
      <c r="BP189" s="581"/>
      <c r="BQ189" s="581"/>
      <c r="BR189" s="581"/>
      <c r="BS189" s="581"/>
      <c r="BT189" s="581"/>
      <c r="BU189" s="581"/>
      <c r="BV189" s="581"/>
      <c r="BW189" s="581"/>
      <c r="BX189" s="581"/>
      <c r="BY189" s="581"/>
      <c r="BZ189" s="581"/>
      <c r="CA189" s="581"/>
      <c r="CB189" s="581"/>
      <c r="CC189" s="581"/>
      <c r="CD189" s="581"/>
      <c r="CE189" s="581"/>
      <c r="CF189" s="581"/>
      <c r="CG189" s="581"/>
      <c r="CH189" s="581"/>
      <c r="CI189" s="581"/>
      <c r="CJ189" s="581"/>
      <c r="CK189" s="581"/>
      <c r="CL189" s="581"/>
      <c r="CM189" s="581"/>
      <c r="CN189" s="581"/>
      <c r="CO189" s="581"/>
      <c r="CP189" s="581"/>
      <c r="CQ189" s="581"/>
      <c r="CR189" s="581"/>
      <c r="CS189" s="581"/>
      <c r="CT189" s="581"/>
      <c r="CU189" s="581"/>
      <c r="CV189" s="581"/>
      <c r="CW189" s="581"/>
      <c r="CX189" s="581"/>
      <c r="CY189" s="581"/>
      <c r="CZ189" s="581"/>
      <c r="DA189" s="581"/>
      <c r="DB189" s="581"/>
      <c r="DC189" s="581"/>
      <c r="DD189" s="581"/>
      <c r="DE189" s="581"/>
      <c r="DF189" s="581"/>
      <c r="DG189" s="581"/>
      <c r="DH189" s="581"/>
      <c r="DI189" s="581"/>
      <c r="DJ189" s="581"/>
      <c r="DK189" s="581"/>
      <c r="DL189" s="581"/>
      <c r="DM189" s="581"/>
      <c r="DN189" s="581"/>
      <c r="DO189" s="581"/>
      <c r="DP189" s="581"/>
      <c r="DQ189" s="581"/>
      <c r="DR189" s="581"/>
      <c r="DS189" s="581"/>
      <c r="DT189" s="581"/>
      <c r="DU189" s="581"/>
      <c r="DV189" s="581"/>
      <c r="DW189" s="581"/>
      <c r="DX189" s="581"/>
      <c r="DY189" s="581"/>
      <c r="DZ189" s="581"/>
      <c r="EA189" s="581"/>
      <c r="EB189" s="581"/>
      <c r="EC189" s="581"/>
      <c r="ED189" s="581"/>
      <c r="EE189" s="581"/>
      <c r="EF189" s="581"/>
      <c r="EG189" s="581"/>
      <c r="EH189" s="581"/>
      <c r="EI189" s="581"/>
      <c r="EJ189" s="581"/>
    </row>
    <row r="190" spans="1:140" ht="30.75">
      <c r="A190" s="801" t="s">
        <v>860</v>
      </c>
      <c r="B190" s="758"/>
      <c r="C190" s="732"/>
      <c r="D190" s="732"/>
      <c r="E190" s="843"/>
      <c r="F190" s="806"/>
      <c r="G190" s="597"/>
      <c r="H190" s="544"/>
      <c r="I190" s="544"/>
      <c r="J190" s="596"/>
      <c r="K190" s="807"/>
      <c r="L190" s="688"/>
      <c r="M190" s="688"/>
      <c r="N190" s="688"/>
      <c r="O190" s="688"/>
      <c r="AG190" s="578"/>
      <c r="AH190" s="578"/>
      <c r="AI190" s="578"/>
      <c r="AJ190" s="578"/>
      <c r="AK190" s="578"/>
      <c r="AL190" s="579"/>
      <c r="AM190" s="580"/>
      <c r="AN190" s="581"/>
      <c r="AO190" s="581"/>
      <c r="AP190" s="579"/>
      <c r="AQ190" s="582"/>
      <c r="AR190" s="581"/>
      <c r="AS190" s="581"/>
      <c r="AT190" s="581"/>
      <c r="AU190" s="581"/>
      <c r="AV190" s="581"/>
      <c r="AW190" s="581"/>
      <c r="AX190" s="581"/>
      <c r="AY190" s="581"/>
      <c r="AZ190" s="581"/>
      <c r="BA190" s="581"/>
      <c r="BB190" s="581"/>
      <c r="BC190" s="581"/>
      <c r="BD190" s="581"/>
      <c r="BE190" s="581"/>
      <c r="BF190" s="581"/>
      <c r="BG190" s="581"/>
      <c r="BH190" s="581"/>
      <c r="BI190" s="581"/>
      <c r="BJ190" s="581"/>
      <c r="BK190" s="581"/>
      <c r="BL190" s="581"/>
      <c r="BM190" s="581"/>
      <c r="BN190" s="581"/>
      <c r="BO190" s="581"/>
      <c r="BP190" s="581"/>
      <c r="BQ190" s="581"/>
      <c r="BR190" s="581"/>
      <c r="BS190" s="581"/>
      <c r="BT190" s="581"/>
      <c r="BU190" s="581"/>
      <c r="BV190" s="581"/>
      <c r="BW190" s="581"/>
      <c r="BX190" s="581"/>
      <c r="BY190" s="581"/>
      <c r="BZ190" s="581"/>
      <c r="CA190" s="581"/>
      <c r="CB190" s="581"/>
      <c r="CC190" s="581"/>
      <c r="CD190" s="581"/>
      <c r="CE190" s="581"/>
      <c r="CF190" s="581"/>
      <c r="CG190" s="581"/>
      <c r="CH190" s="581"/>
      <c r="CI190" s="581"/>
      <c r="CJ190" s="581"/>
      <c r="CK190" s="581"/>
      <c r="CL190" s="581"/>
      <c r="CM190" s="581"/>
      <c r="CN190" s="581"/>
      <c r="CO190" s="581"/>
      <c r="CP190" s="581"/>
      <c r="CQ190" s="581"/>
      <c r="CR190" s="581"/>
      <c r="CS190" s="581"/>
      <c r="CT190" s="581"/>
      <c r="CU190" s="581"/>
      <c r="CV190" s="581"/>
      <c r="CW190" s="581"/>
      <c r="CX190" s="581"/>
      <c r="CY190" s="581"/>
      <c r="CZ190" s="581"/>
      <c r="DA190" s="581"/>
      <c r="DB190" s="581"/>
      <c r="DC190" s="581"/>
      <c r="DD190" s="581"/>
      <c r="DE190" s="581"/>
      <c r="DF190" s="581"/>
      <c r="DG190" s="581"/>
      <c r="DH190" s="581"/>
      <c r="DI190" s="581"/>
      <c r="DJ190" s="581"/>
      <c r="DK190" s="581"/>
      <c r="DL190" s="581"/>
      <c r="DM190" s="581"/>
      <c r="DN190" s="581"/>
      <c r="DO190" s="581"/>
      <c r="DP190" s="581"/>
      <c r="DQ190" s="581"/>
      <c r="DR190" s="581"/>
      <c r="DS190" s="581"/>
      <c r="DT190" s="581"/>
      <c r="DU190" s="581"/>
      <c r="DV190" s="581"/>
      <c r="DW190" s="581"/>
      <c r="DX190" s="581"/>
      <c r="DY190" s="581"/>
      <c r="DZ190" s="581"/>
      <c r="EA190" s="581"/>
      <c r="EB190" s="581"/>
      <c r="EC190" s="581"/>
      <c r="ED190" s="581"/>
      <c r="EE190" s="581"/>
      <c r="EF190" s="581"/>
      <c r="EG190" s="581"/>
      <c r="EH190" s="581"/>
      <c r="EI190" s="581"/>
      <c r="EJ190" s="581"/>
    </row>
    <row r="191" spans="1:140" ht="170.25">
      <c r="A191" s="801" t="s">
        <v>862</v>
      </c>
      <c r="B191" s="763" t="s">
        <v>395</v>
      </c>
      <c r="C191" s="842" t="s">
        <v>697</v>
      </c>
      <c r="D191" s="758" t="s">
        <v>726</v>
      </c>
      <c r="E191" s="847"/>
      <c r="F191" s="601">
        <f>F32</f>
        <v>70</v>
      </c>
      <c r="G191" s="602">
        <f>G189</f>
        <v>90969.12849999999</v>
      </c>
      <c r="H191" s="603"/>
      <c r="I191" s="603"/>
      <c r="J191" s="601">
        <f>SUM(F191/K191)*G191</f>
        <v>636783.8994999999</v>
      </c>
      <c r="K191" s="575">
        <v>10</v>
      </c>
      <c r="L191" s="569"/>
      <c r="M191" s="569"/>
      <c r="N191" s="569"/>
      <c r="O191" s="569"/>
      <c r="AG191" s="578"/>
      <c r="AH191" s="578"/>
      <c r="AI191" s="578"/>
      <c r="AJ191" s="578"/>
      <c r="AK191" s="578"/>
      <c r="AL191" s="579"/>
      <c r="AM191" s="580"/>
      <c r="AN191" s="581"/>
      <c r="AO191" s="581"/>
      <c r="AP191" s="579"/>
      <c r="AQ191" s="582"/>
      <c r="AR191" s="581"/>
      <c r="AS191" s="581"/>
      <c r="AT191" s="581"/>
      <c r="AU191" s="581"/>
      <c r="AV191" s="581"/>
      <c r="AW191" s="581"/>
      <c r="AX191" s="581"/>
      <c r="AY191" s="581"/>
      <c r="AZ191" s="581"/>
      <c r="BA191" s="581"/>
      <c r="BB191" s="581"/>
      <c r="BC191" s="581"/>
      <c r="BD191" s="581"/>
      <c r="BE191" s="581"/>
      <c r="BF191" s="581"/>
      <c r="BG191" s="581"/>
      <c r="BH191" s="581"/>
      <c r="BI191" s="581"/>
      <c r="BJ191" s="581"/>
      <c r="BK191" s="581"/>
      <c r="BL191" s="581"/>
      <c r="BM191" s="581"/>
      <c r="BN191" s="581"/>
      <c r="BO191" s="581"/>
      <c r="BP191" s="581"/>
      <c r="BQ191" s="581"/>
      <c r="BR191" s="581"/>
      <c r="BS191" s="581"/>
      <c r="BT191" s="581"/>
      <c r="BU191" s="581"/>
      <c r="BV191" s="581"/>
      <c r="BW191" s="581"/>
      <c r="BX191" s="581"/>
      <c r="BY191" s="581"/>
      <c r="BZ191" s="581"/>
      <c r="CA191" s="581"/>
      <c r="CB191" s="581"/>
      <c r="CC191" s="581"/>
      <c r="CD191" s="581"/>
      <c r="CE191" s="581"/>
      <c r="CF191" s="581"/>
      <c r="CG191" s="581"/>
      <c r="CH191" s="581"/>
      <c r="CI191" s="581"/>
      <c r="CJ191" s="581"/>
      <c r="CK191" s="581"/>
      <c r="CL191" s="581"/>
      <c r="CM191" s="581"/>
      <c r="CN191" s="581"/>
      <c r="CO191" s="581"/>
      <c r="CP191" s="581"/>
      <c r="CQ191" s="581"/>
      <c r="CR191" s="581"/>
      <c r="CS191" s="581"/>
      <c r="CT191" s="581"/>
      <c r="CU191" s="581"/>
      <c r="CV191" s="581"/>
      <c r="CW191" s="581"/>
      <c r="CX191" s="581"/>
      <c r="CY191" s="581"/>
      <c r="CZ191" s="581"/>
      <c r="DA191" s="581"/>
      <c r="DB191" s="581"/>
      <c r="DC191" s="581"/>
      <c r="DD191" s="581"/>
      <c r="DE191" s="581"/>
      <c r="DF191" s="581"/>
      <c r="DG191" s="581"/>
      <c r="DH191" s="581"/>
      <c r="DI191" s="581"/>
      <c r="DJ191" s="581"/>
      <c r="DK191" s="581"/>
      <c r="DL191" s="581"/>
      <c r="DM191" s="581"/>
      <c r="DN191" s="581"/>
      <c r="DO191" s="581"/>
      <c r="DP191" s="581"/>
      <c r="DQ191" s="581"/>
      <c r="DR191" s="581"/>
      <c r="DS191" s="581"/>
      <c r="DT191" s="581"/>
      <c r="DU191" s="581"/>
      <c r="DV191" s="581"/>
      <c r="DW191" s="581"/>
      <c r="DX191" s="581"/>
      <c r="DY191" s="581"/>
      <c r="DZ191" s="581"/>
      <c r="EA191" s="581"/>
      <c r="EB191" s="581"/>
      <c r="EC191" s="581"/>
      <c r="ED191" s="581"/>
      <c r="EE191" s="581"/>
      <c r="EF191" s="581"/>
      <c r="EG191" s="581"/>
      <c r="EH191" s="581"/>
      <c r="EI191" s="581"/>
      <c r="EJ191" s="581"/>
    </row>
    <row r="192" spans="1:140" ht="30.75">
      <c r="A192" s="801" t="s">
        <v>860</v>
      </c>
      <c r="B192" s="758"/>
      <c r="C192" s="758"/>
      <c r="D192" s="758"/>
      <c r="E192" s="849"/>
      <c r="F192" s="734"/>
      <c r="G192" s="597"/>
      <c r="H192" s="544"/>
      <c r="I192" s="544"/>
      <c r="J192" s="596"/>
      <c r="K192" s="575"/>
      <c r="L192" s="569"/>
      <c r="M192" s="569"/>
      <c r="N192" s="569"/>
      <c r="O192" s="569"/>
      <c r="AG192" s="578"/>
      <c r="AH192" s="578"/>
      <c r="AI192" s="578"/>
      <c r="AJ192" s="578"/>
      <c r="AK192" s="578"/>
      <c r="AL192" s="579"/>
      <c r="AM192" s="580"/>
      <c r="AN192" s="581"/>
      <c r="AO192" s="581"/>
      <c r="AP192" s="579"/>
      <c r="AQ192" s="582"/>
      <c r="AR192" s="581"/>
      <c r="AS192" s="581"/>
      <c r="AT192" s="581"/>
      <c r="AU192" s="581"/>
      <c r="AV192" s="581"/>
      <c r="AW192" s="581"/>
      <c r="AX192" s="581"/>
      <c r="AY192" s="581"/>
      <c r="AZ192" s="581"/>
      <c r="BA192" s="581"/>
      <c r="BB192" s="581"/>
      <c r="BC192" s="581"/>
      <c r="BD192" s="581"/>
      <c r="BE192" s="581"/>
      <c r="BF192" s="581"/>
      <c r="BG192" s="581"/>
      <c r="BH192" s="581"/>
      <c r="BI192" s="581"/>
      <c r="BJ192" s="581"/>
      <c r="BK192" s="581"/>
      <c r="BL192" s="581"/>
      <c r="BM192" s="581"/>
      <c r="BN192" s="581"/>
      <c r="BO192" s="581"/>
      <c r="BP192" s="581"/>
      <c r="BQ192" s="581"/>
      <c r="BR192" s="581"/>
      <c r="BS192" s="581"/>
      <c r="BT192" s="581"/>
      <c r="BU192" s="581"/>
      <c r="BV192" s="581"/>
      <c r="BW192" s="581"/>
      <c r="BX192" s="581"/>
      <c r="BY192" s="581"/>
      <c r="BZ192" s="581"/>
      <c r="CA192" s="581"/>
      <c r="CB192" s="581"/>
      <c r="CC192" s="581"/>
      <c r="CD192" s="581"/>
      <c r="CE192" s="581"/>
      <c r="CF192" s="581"/>
      <c r="CG192" s="581"/>
      <c r="CH192" s="581"/>
      <c r="CI192" s="581"/>
      <c r="CJ192" s="581"/>
      <c r="CK192" s="581"/>
      <c r="CL192" s="581"/>
      <c r="CM192" s="581"/>
      <c r="CN192" s="581"/>
      <c r="CO192" s="581"/>
      <c r="CP192" s="581"/>
      <c r="CQ192" s="581"/>
      <c r="CR192" s="581"/>
      <c r="CS192" s="581"/>
      <c r="CT192" s="581"/>
      <c r="CU192" s="581"/>
      <c r="CV192" s="581"/>
      <c r="CW192" s="581"/>
      <c r="CX192" s="581"/>
      <c r="CY192" s="581"/>
      <c r="CZ192" s="581"/>
      <c r="DA192" s="581"/>
      <c r="DB192" s="581"/>
      <c r="DC192" s="581"/>
      <c r="DD192" s="581"/>
      <c r="DE192" s="581"/>
      <c r="DF192" s="581"/>
      <c r="DG192" s="581"/>
      <c r="DH192" s="581"/>
      <c r="DI192" s="581"/>
      <c r="DJ192" s="581"/>
      <c r="DK192" s="581"/>
      <c r="DL192" s="581"/>
      <c r="DM192" s="581"/>
      <c r="DN192" s="581"/>
      <c r="DO192" s="581"/>
      <c r="DP192" s="581"/>
      <c r="DQ192" s="581"/>
      <c r="DR192" s="581"/>
      <c r="DS192" s="581"/>
      <c r="DT192" s="581"/>
      <c r="DU192" s="581"/>
      <c r="DV192" s="581"/>
      <c r="DW192" s="581"/>
      <c r="DX192" s="581"/>
      <c r="DY192" s="581"/>
      <c r="DZ192" s="581"/>
      <c r="EA192" s="581"/>
      <c r="EB192" s="581"/>
      <c r="EC192" s="581"/>
      <c r="ED192" s="581"/>
      <c r="EE192" s="581"/>
      <c r="EF192" s="581"/>
      <c r="EG192" s="581"/>
      <c r="EH192" s="581"/>
      <c r="EI192" s="581"/>
      <c r="EJ192" s="581"/>
    </row>
    <row r="193" spans="1:140" ht="154.5">
      <c r="A193" s="801" t="s">
        <v>863</v>
      </c>
      <c r="B193" s="763" t="s">
        <v>745</v>
      </c>
      <c r="C193" s="842" t="s">
        <v>697</v>
      </c>
      <c r="D193" s="758" t="s">
        <v>727</v>
      </c>
      <c r="E193" s="851"/>
      <c r="F193" s="734">
        <v>500</v>
      </c>
      <c r="G193" s="602">
        <v>51549</v>
      </c>
      <c r="H193" s="603"/>
      <c r="I193" s="603"/>
      <c r="J193" s="601">
        <f>SUM(F193/K193)*G193</f>
        <v>4295750</v>
      </c>
      <c r="K193" s="575">
        <v>6</v>
      </c>
      <c r="L193" s="569"/>
      <c r="M193" s="569"/>
      <c r="N193" s="569"/>
      <c r="O193" s="569"/>
      <c r="AG193" s="578"/>
      <c r="AH193" s="578"/>
      <c r="AI193" s="578"/>
      <c r="AJ193" s="578"/>
      <c r="AK193" s="578"/>
      <c r="AL193" s="579"/>
      <c r="AM193" s="580"/>
      <c r="AN193" s="581"/>
      <c r="AO193" s="581"/>
      <c r="AP193" s="579"/>
      <c r="AQ193" s="582"/>
      <c r="AR193" s="581"/>
      <c r="AS193" s="581"/>
      <c r="AT193" s="581"/>
      <c r="AU193" s="581"/>
      <c r="AV193" s="581"/>
      <c r="AW193" s="581"/>
      <c r="AX193" s="581"/>
      <c r="AY193" s="581"/>
      <c r="AZ193" s="581"/>
      <c r="BA193" s="581"/>
      <c r="BB193" s="581"/>
      <c r="BC193" s="581"/>
      <c r="BD193" s="581"/>
      <c r="BE193" s="581"/>
      <c r="BF193" s="581"/>
      <c r="BG193" s="581"/>
      <c r="BH193" s="581"/>
      <c r="BI193" s="581"/>
      <c r="BJ193" s="581"/>
      <c r="BK193" s="581"/>
      <c r="BL193" s="581"/>
      <c r="BM193" s="581"/>
      <c r="BN193" s="581"/>
      <c r="BO193" s="581"/>
      <c r="BP193" s="581"/>
      <c r="BQ193" s="581"/>
      <c r="BR193" s="581"/>
      <c r="BS193" s="581"/>
      <c r="BT193" s="581"/>
      <c r="BU193" s="581"/>
      <c r="BV193" s="581"/>
      <c r="BW193" s="581"/>
      <c r="BX193" s="581"/>
      <c r="BY193" s="581"/>
      <c r="BZ193" s="581"/>
      <c r="CA193" s="581"/>
      <c r="CB193" s="581"/>
      <c r="CC193" s="581"/>
      <c r="CD193" s="581"/>
      <c r="CE193" s="581"/>
      <c r="CF193" s="581"/>
      <c r="CG193" s="581"/>
      <c r="CH193" s="581"/>
      <c r="CI193" s="581"/>
      <c r="CJ193" s="581"/>
      <c r="CK193" s="581"/>
      <c r="CL193" s="581"/>
      <c r="CM193" s="581"/>
      <c r="CN193" s="581"/>
      <c r="CO193" s="581"/>
      <c r="CP193" s="581"/>
      <c r="CQ193" s="581"/>
      <c r="CR193" s="581"/>
      <c r="CS193" s="581"/>
      <c r="CT193" s="581"/>
      <c r="CU193" s="581"/>
      <c r="CV193" s="581"/>
      <c r="CW193" s="581"/>
      <c r="CX193" s="581"/>
      <c r="CY193" s="581"/>
      <c r="CZ193" s="581"/>
      <c r="DA193" s="581"/>
      <c r="DB193" s="581"/>
      <c r="DC193" s="581"/>
      <c r="DD193" s="581"/>
      <c r="DE193" s="581"/>
      <c r="DF193" s="581"/>
      <c r="DG193" s="581"/>
      <c r="DH193" s="581"/>
      <c r="DI193" s="581"/>
      <c r="DJ193" s="581"/>
      <c r="DK193" s="581"/>
      <c r="DL193" s="581"/>
      <c r="DM193" s="581"/>
      <c r="DN193" s="581"/>
      <c r="DO193" s="581"/>
      <c r="DP193" s="581"/>
      <c r="DQ193" s="581"/>
      <c r="DR193" s="581"/>
      <c r="DS193" s="581"/>
      <c r="DT193" s="581"/>
      <c r="DU193" s="581"/>
      <c r="DV193" s="581"/>
      <c r="DW193" s="581"/>
      <c r="DX193" s="581"/>
      <c r="DY193" s="581"/>
      <c r="DZ193" s="581"/>
      <c r="EA193" s="581"/>
      <c r="EB193" s="581"/>
      <c r="EC193" s="581"/>
      <c r="ED193" s="581"/>
      <c r="EE193" s="581"/>
      <c r="EF193" s="581"/>
      <c r="EG193" s="581"/>
      <c r="EH193" s="581"/>
      <c r="EI193" s="581"/>
      <c r="EJ193" s="581"/>
    </row>
    <row r="194" spans="2:140" ht="15">
      <c r="B194" s="758"/>
      <c r="C194" s="732"/>
      <c r="D194" s="732"/>
      <c r="E194" s="843"/>
      <c r="F194" s="806"/>
      <c r="G194" s="597"/>
      <c r="H194" s="544"/>
      <c r="I194" s="544"/>
      <c r="J194" s="596"/>
      <c r="K194" s="807"/>
      <c r="L194" s="688"/>
      <c r="M194" s="688"/>
      <c r="N194" s="688"/>
      <c r="O194" s="688"/>
      <c r="AG194" s="578"/>
      <c r="AH194" s="578"/>
      <c r="AI194" s="578"/>
      <c r="AJ194" s="578"/>
      <c r="AK194" s="578"/>
      <c r="AL194" s="579"/>
      <c r="AM194" s="580"/>
      <c r="AN194" s="581"/>
      <c r="AO194" s="581"/>
      <c r="AP194" s="579"/>
      <c r="AQ194" s="582"/>
      <c r="AR194" s="581"/>
      <c r="AS194" s="581"/>
      <c r="AT194" s="581"/>
      <c r="AU194" s="581"/>
      <c r="AV194" s="581"/>
      <c r="AW194" s="581"/>
      <c r="AX194" s="581"/>
      <c r="AY194" s="581"/>
      <c r="AZ194" s="581"/>
      <c r="BA194" s="581"/>
      <c r="BB194" s="581"/>
      <c r="BC194" s="581"/>
      <c r="BD194" s="581"/>
      <c r="BE194" s="581"/>
      <c r="BF194" s="581"/>
      <c r="BG194" s="581"/>
      <c r="BH194" s="581"/>
      <c r="BI194" s="581"/>
      <c r="BJ194" s="581"/>
      <c r="BK194" s="581"/>
      <c r="BL194" s="581"/>
      <c r="BM194" s="581"/>
      <c r="BN194" s="581"/>
      <c r="BO194" s="581"/>
      <c r="BP194" s="581"/>
      <c r="BQ194" s="581"/>
      <c r="BR194" s="581"/>
      <c r="BS194" s="581"/>
      <c r="BT194" s="581"/>
      <c r="BU194" s="581"/>
      <c r="BV194" s="581"/>
      <c r="BW194" s="581"/>
      <c r="BX194" s="581"/>
      <c r="BY194" s="581"/>
      <c r="BZ194" s="581"/>
      <c r="CA194" s="581"/>
      <c r="CB194" s="581"/>
      <c r="CC194" s="581"/>
      <c r="CD194" s="581"/>
      <c r="CE194" s="581"/>
      <c r="CF194" s="581"/>
      <c r="CG194" s="581"/>
      <c r="CH194" s="581"/>
      <c r="CI194" s="581"/>
      <c r="CJ194" s="581"/>
      <c r="CK194" s="581"/>
      <c r="CL194" s="581"/>
      <c r="CM194" s="581"/>
      <c r="CN194" s="581"/>
      <c r="CO194" s="581"/>
      <c r="CP194" s="581"/>
      <c r="CQ194" s="581"/>
      <c r="CR194" s="581"/>
      <c r="CS194" s="581"/>
      <c r="CT194" s="581"/>
      <c r="CU194" s="581"/>
      <c r="CV194" s="581"/>
      <c r="CW194" s="581"/>
      <c r="CX194" s="581"/>
      <c r="CY194" s="581"/>
      <c r="CZ194" s="581"/>
      <c r="DA194" s="581"/>
      <c r="DB194" s="581"/>
      <c r="DC194" s="581"/>
      <c r="DD194" s="581"/>
      <c r="DE194" s="581"/>
      <c r="DF194" s="581"/>
      <c r="DG194" s="581"/>
      <c r="DH194" s="581"/>
      <c r="DI194" s="581"/>
      <c r="DJ194" s="581"/>
      <c r="DK194" s="581"/>
      <c r="DL194" s="581"/>
      <c r="DM194" s="581"/>
      <c r="DN194" s="581"/>
      <c r="DO194" s="581"/>
      <c r="DP194" s="581"/>
      <c r="DQ194" s="581"/>
      <c r="DR194" s="581"/>
      <c r="DS194" s="581"/>
      <c r="DT194" s="581"/>
      <c r="DU194" s="581"/>
      <c r="DV194" s="581"/>
      <c r="DW194" s="581"/>
      <c r="DX194" s="581"/>
      <c r="DY194" s="581"/>
      <c r="DZ194" s="581"/>
      <c r="EA194" s="581"/>
      <c r="EB194" s="581"/>
      <c r="EC194" s="581"/>
      <c r="ED194" s="581"/>
      <c r="EE194" s="581"/>
      <c r="EF194" s="581"/>
      <c r="EG194" s="581"/>
      <c r="EH194" s="581"/>
      <c r="EI194" s="581"/>
      <c r="EJ194" s="581"/>
    </row>
    <row r="195" spans="1:140" ht="15">
      <c r="A195" s="631" t="s">
        <v>45</v>
      </c>
      <c r="B195" s="758"/>
      <c r="C195" s="732"/>
      <c r="D195" s="732"/>
      <c r="E195" s="843"/>
      <c r="F195" s="806"/>
      <c r="G195" s="661"/>
      <c r="H195" s="662"/>
      <c r="I195" s="662"/>
      <c r="J195" s="660"/>
      <c r="K195" s="807"/>
      <c r="L195" s="688"/>
      <c r="M195" s="688"/>
      <c r="N195" s="688"/>
      <c r="O195" s="688"/>
      <c r="AG195" s="578"/>
      <c r="AH195" s="578"/>
      <c r="AI195" s="578"/>
      <c r="AJ195" s="578"/>
      <c r="AK195" s="578"/>
      <c r="AL195" s="579"/>
      <c r="AM195" s="580"/>
      <c r="AN195" s="581"/>
      <c r="AO195" s="581"/>
      <c r="AP195" s="579"/>
      <c r="AQ195" s="582"/>
      <c r="AR195" s="581"/>
      <c r="AS195" s="581"/>
      <c r="AT195" s="581"/>
      <c r="AU195" s="581"/>
      <c r="AV195" s="581"/>
      <c r="AW195" s="581"/>
      <c r="AX195" s="581"/>
      <c r="AY195" s="581"/>
      <c r="AZ195" s="581"/>
      <c r="BA195" s="581"/>
      <c r="BB195" s="581"/>
      <c r="BC195" s="581"/>
      <c r="BD195" s="581"/>
      <c r="BE195" s="581"/>
      <c r="BF195" s="581"/>
      <c r="BG195" s="581"/>
      <c r="BH195" s="581"/>
      <c r="BI195" s="581"/>
      <c r="BJ195" s="581"/>
      <c r="BK195" s="581"/>
      <c r="BL195" s="581"/>
      <c r="BM195" s="581"/>
      <c r="BN195" s="581"/>
      <c r="BO195" s="581"/>
      <c r="BP195" s="581"/>
      <c r="BQ195" s="581"/>
      <c r="BR195" s="581"/>
      <c r="BS195" s="581"/>
      <c r="BT195" s="581"/>
      <c r="BU195" s="581"/>
      <c r="BV195" s="581"/>
      <c r="BW195" s="581"/>
      <c r="BX195" s="581"/>
      <c r="BY195" s="581"/>
      <c r="BZ195" s="581"/>
      <c r="CA195" s="581"/>
      <c r="CB195" s="581"/>
      <c r="CC195" s="581"/>
      <c r="CD195" s="581"/>
      <c r="CE195" s="581"/>
      <c r="CF195" s="581"/>
      <c r="CG195" s="581"/>
      <c r="CH195" s="581"/>
      <c r="CI195" s="581"/>
      <c r="CJ195" s="581"/>
      <c r="CK195" s="581"/>
      <c r="CL195" s="581"/>
      <c r="CM195" s="581"/>
      <c r="CN195" s="581"/>
      <c r="CO195" s="581"/>
      <c r="CP195" s="581"/>
      <c r="CQ195" s="581"/>
      <c r="CR195" s="581"/>
      <c r="CS195" s="581"/>
      <c r="CT195" s="581"/>
      <c r="CU195" s="581"/>
      <c r="CV195" s="581"/>
      <c r="CW195" s="581"/>
      <c r="CX195" s="581"/>
      <c r="CY195" s="581"/>
      <c r="CZ195" s="581"/>
      <c r="DA195" s="581"/>
      <c r="DB195" s="581"/>
      <c r="DC195" s="581"/>
      <c r="DD195" s="581"/>
      <c r="DE195" s="581"/>
      <c r="DF195" s="581"/>
      <c r="DG195" s="581"/>
      <c r="DH195" s="581"/>
      <c r="DI195" s="581"/>
      <c r="DJ195" s="581"/>
      <c r="DK195" s="581"/>
      <c r="DL195" s="581"/>
      <c r="DM195" s="581"/>
      <c r="DN195" s="581"/>
      <c r="DO195" s="581"/>
      <c r="DP195" s="581"/>
      <c r="DQ195" s="581"/>
      <c r="DR195" s="581"/>
      <c r="DS195" s="581"/>
      <c r="DT195" s="581"/>
      <c r="DU195" s="581"/>
      <c r="DV195" s="581"/>
      <c r="DW195" s="581"/>
      <c r="DX195" s="581"/>
      <c r="DY195" s="581"/>
      <c r="DZ195" s="581"/>
      <c r="EA195" s="581"/>
      <c r="EB195" s="581"/>
      <c r="EC195" s="581"/>
      <c r="ED195" s="581"/>
      <c r="EE195" s="581"/>
      <c r="EF195" s="581"/>
      <c r="EG195" s="581"/>
      <c r="EH195" s="581"/>
      <c r="EI195" s="581"/>
      <c r="EJ195" s="581"/>
    </row>
    <row r="196" spans="1:140" ht="27">
      <c r="A196" s="624" t="s">
        <v>929</v>
      </c>
      <c r="B196" s="758"/>
      <c r="C196" s="732"/>
      <c r="D196" s="732"/>
      <c r="E196" s="843"/>
      <c r="F196" s="806"/>
      <c r="G196" s="597"/>
      <c r="H196" s="544"/>
      <c r="I196" s="544"/>
      <c r="J196" s="596"/>
      <c r="K196" s="807"/>
      <c r="L196" s="688"/>
      <c r="M196" s="688"/>
      <c r="N196" s="688"/>
      <c r="O196" s="688"/>
      <c r="AG196" s="578"/>
      <c r="AH196" s="578"/>
      <c r="AI196" s="578"/>
      <c r="AJ196" s="578"/>
      <c r="AK196" s="578"/>
      <c r="AL196" s="579"/>
      <c r="AM196" s="580"/>
      <c r="AN196" s="581"/>
      <c r="AO196" s="581"/>
      <c r="AP196" s="579"/>
      <c r="AQ196" s="582"/>
      <c r="AR196" s="581"/>
      <c r="AS196" s="581"/>
      <c r="AT196" s="581"/>
      <c r="AU196" s="581"/>
      <c r="AV196" s="581"/>
      <c r="AW196" s="581"/>
      <c r="AX196" s="581"/>
      <c r="AY196" s="581"/>
      <c r="AZ196" s="581"/>
      <c r="BA196" s="581"/>
      <c r="BB196" s="581"/>
      <c r="BC196" s="581"/>
      <c r="BD196" s="581"/>
      <c r="BE196" s="581"/>
      <c r="BF196" s="581"/>
      <c r="BG196" s="581"/>
      <c r="BH196" s="581"/>
      <c r="BI196" s="581"/>
      <c r="BJ196" s="581"/>
      <c r="BK196" s="581"/>
      <c r="BL196" s="581"/>
      <c r="BM196" s="581"/>
      <c r="BN196" s="581"/>
      <c r="BO196" s="581"/>
      <c r="BP196" s="581"/>
      <c r="BQ196" s="581"/>
      <c r="BR196" s="581"/>
      <c r="BS196" s="581"/>
      <c r="BT196" s="581"/>
      <c r="BU196" s="581"/>
      <c r="BV196" s="581"/>
      <c r="BW196" s="581"/>
      <c r="BX196" s="581"/>
      <c r="BY196" s="581"/>
      <c r="BZ196" s="581"/>
      <c r="CA196" s="581"/>
      <c r="CB196" s="581"/>
      <c r="CC196" s="581"/>
      <c r="CD196" s="581"/>
      <c r="CE196" s="581"/>
      <c r="CF196" s="581"/>
      <c r="CG196" s="581"/>
      <c r="CH196" s="581"/>
      <c r="CI196" s="581"/>
      <c r="CJ196" s="581"/>
      <c r="CK196" s="581"/>
      <c r="CL196" s="581"/>
      <c r="CM196" s="581"/>
      <c r="CN196" s="581"/>
      <c r="CO196" s="581"/>
      <c r="CP196" s="581"/>
      <c r="CQ196" s="581"/>
      <c r="CR196" s="581"/>
      <c r="CS196" s="581"/>
      <c r="CT196" s="581"/>
      <c r="CU196" s="581"/>
      <c r="CV196" s="581"/>
      <c r="CW196" s="581"/>
      <c r="CX196" s="581"/>
      <c r="CY196" s="581"/>
      <c r="CZ196" s="581"/>
      <c r="DA196" s="581"/>
      <c r="DB196" s="581"/>
      <c r="DC196" s="581"/>
      <c r="DD196" s="581"/>
      <c r="DE196" s="581"/>
      <c r="DF196" s="581"/>
      <c r="DG196" s="581"/>
      <c r="DH196" s="581"/>
      <c r="DI196" s="581"/>
      <c r="DJ196" s="581"/>
      <c r="DK196" s="581"/>
      <c r="DL196" s="581"/>
      <c r="DM196" s="581"/>
      <c r="DN196" s="581"/>
      <c r="DO196" s="581"/>
      <c r="DP196" s="581"/>
      <c r="DQ196" s="581"/>
      <c r="DR196" s="581"/>
      <c r="DS196" s="581"/>
      <c r="DT196" s="581"/>
      <c r="DU196" s="581"/>
      <c r="DV196" s="581"/>
      <c r="DW196" s="581"/>
      <c r="DX196" s="581"/>
      <c r="DY196" s="581"/>
      <c r="DZ196" s="581"/>
      <c r="EA196" s="581"/>
      <c r="EB196" s="581"/>
      <c r="EC196" s="581"/>
      <c r="ED196" s="581"/>
      <c r="EE196" s="581"/>
      <c r="EF196" s="581"/>
      <c r="EG196" s="581"/>
      <c r="EH196" s="581"/>
      <c r="EI196" s="581"/>
      <c r="EJ196" s="581"/>
    </row>
    <row r="197" spans="1:140" ht="77.25">
      <c r="A197" s="801" t="s">
        <v>47</v>
      </c>
      <c r="B197" s="758" t="s">
        <v>809</v>
      </c>
      <c r="C197" s="808" t="s">
        <v>810</v>
      </c>
      <c r="D197" s="758">
        <v>1</v>
      </c>
      <c r="E197" s="849" t="s">
        <v>350</v>
      </c>
      <c r="F197" s="734">
        <v>2000</v>
      </c>
      <c r="G197" s="602">
        <v>1372</v>
      </c>
      <c r="H197" s="603"/>
      <c r="I197" s="603"/>
      <c r="J197" s="601">
        <f>SUM(F197/K197)*G197</f>
        <v>457333.3333333333</v>
      </c>
      <c r="K197" s="575">
        <v>6</v>
      </c>
      <c r="L197" s="569"/>
      <c r="M197" s="569"/>
      <c r="N197" s="569"/>
      <c r="O197" s="569"/>
      <c r="AG197" s="578"/>
      <c r="AH197" s="578"/>
      <c r="AI197" s="578"/>
      <c r="AJ197" s="578"/>
      <c r="AK197" s="578"/>
      <c r="AL197" s="579"/>
      <c r="AM197" s="580"/>
      <c r="AN197" s="581"/>
      <c r="AO197" s="581"/>
      <c r="AP197" s="579"/>
      <c r="AQ197" s="582"/>
      <c r="AR197" s="581"/>
      <c r="AS197" s="581"/>
      <c r="AT197" s="581"/>
      <c r="AU197" s="581"/>
      <c r="AV197" s="581"/>
      <c r="AW197" s="581"/>
      <c r="AX197" s="581"/>
      <c r="AY197" s="581"/>
      <c r="AZ197" s="581"/>
      <c r="BA197" s="581"/>
      <c r="BB197" s="581"/>
      <c r="BC197" s="581"/>
      <c r="BD197" s="581"/>
      <c r="BE197" s="581"/>
      <c r="BF197" s="581"/>
      <c r="BG197" s="581"/>
      <c r="BH197" s="581"/>
      <c r="BI197" s="581"/>
      <c r="BJ197" s="581"/>
      <c r="BK197" s="581"/>
      <c r="BL197" s="581"/>
      <c r="BM197" s="581"/>
      <c r="BN197" s="581"/>
      <c r="BO197" s="581"/>
      <c r="BP197" s="581"/>
      <c r="BQ197" s="581"/>
      <c r="BR197" s="581"/>
      <c r="BS197" s="581"/>
      <c r="BT197" s="581"/>
      <c r="BU197" s="581"/>
      <c r="BV197" s="581"/>
      <c r="BW197" s="581"/>
      <c r="BX197" s="581"/>
      <c r="BY197" s="581"/>
      <c r="BZ197" s="581"/>
      <c r="CA197" s="581"/>
      <c r="CB197" s="581"/>
      <c r="CC197" s="581"/>
      <c r="CD197" s="581"/>
      <c r="CE197" s="581"/>
      <c r="CF197" s="581"/>
      <c r="CG197" s="581"/>
      <c r="CH197" s="581"/>
      <c r="CI197" s="581"/>
      <c r="CJ197" s="581"/>
      <c r="CK197" s="581"/>
      <c r="CL197" s="581"/>
      <c r="CM197" s="581"/>
      <c r="CN197" s="581"/>
      <c r="CO197" s="581"/>
      <c r="CP197" s="581"/>
      <c r="CQ197" s="581"/>
      <c r="CR197" s="581"/>
      <c r="CS197" s="581"/>
      <c r="CT197" s="581"/>
      <c r="CU197" s="581"/>
      <c r="CV197" s="581"/>
      <c r="CW197" s="581"/>
      <c r="CX197" s="581"/>
      <c r="CY197" s="581"/>
      <c r="CZ197" s="581"/>
      <c r="DA197" s="581"/>
      <c r="DB197" s="581"/>
      <c r="DC197" s="581"/>
      <c r="DD197" s="581"/>
      <c r="DE197" s="581"/>
      <c r="DF197" s="581"/>
      <c r="DG197" s="581"/>
      <c r="DH197" s="581"/>
      <c r="DI197" s="581"/>
      <c r="DJ197" s="581"/>
      <c r="DK197" s="581"/>
      <c r="DL197" s="581"/>
      <c r="DM197" s="581"/>
      <c r="DN197" s="581"/>
      <c r="DO197" s="581"/>
      <c r="DP197" s="581"/>
      <c r="DQ197" s="581"/>
      <c r="DR197" s="581"/>
      <c r="DS197" s="581"/>
      <c r="DT197" s="581"/>
      <c r="DU197" s="581"/>
      <c r="DV197" s="581"/>
      <c r="DW197" s="581"/>
      <c r="DX197" s="581"/>
      <c r="DY197" s="581"/>
      <c r="DZ197" s="581"/>
      <c r="EA197" s="581"/>
      <c r="EB197" s="581"/>
      <c r="EC197" s="581"/>
      <c r="ED197" s="581"/>
      <c r="EE197" s="581"/>
      <c r="EF197" s="581"/>
      <c r="EG197" s="581"/>
      <c r="EH197" s="581"/>
      <c r="EI197" s="581"/>
      <c r="EJ197" s="581"/>
    </row>
    <row r="198" spans="1:140" ht="46.5">
      <c r="A198" s="801" t="s">
        <v>869</v>
      </c>
      <c r="B198" s="758"/>
      <c r="C198" s="758"/>
      <c r="D198" s="758"/>
      <c r="E198" s="849"/>
      <c r="F198" s="734"/>
      <c r="G198" s="597"/>
      <c r="H198" s="544"/>
      <c r="I198" s="544"/>
      <c r="J198" s="596"/>
      <c r="K198" s="575"/>
      <c r="L198" s="569"/>
      <c r="M198" s="569"/>
      <c r="N198" s="569"/>
      <c r="O198" s="569"/>
      <c r="AG198" s="578"/>
      <c r="AH198" s="578"/>
      <c r="AI198" s="578"/>
      <c r="AJ198" s="578"/>
      <c r="AK198" s="578"/>
      <c r="AL198" s="579"/>
      <c r="AM198" s="580"/>
      <c r="AN198" s="581"/>
      <c r="AO198" s="581"/>
      <c r="AP198" s="579"/>
      <c r="AQ198" s="582"/>
      <c r="AR198" s="581"/>
      <c r="AS198" s="581"/>
      <c r="AT198" s="581"/>
      <c r="AU198" s="581"/>
      <c r="AV198" s="581"/>
      <c r="AW198" s="581"/>
      <c r="AX198" s="581"/>
      <c r="AY198" s="581"/>
      <c r="AZ198" s="581"/>
      <c r="BA198" s="581"/>
      <c r="BB198" s="581"/>
      <c r="BC198" s="581"/>
      <c r="BD198" s="581"/>
      <c r="BE198" s="581"/>
      <c r="BF198" s="581"/>
      <c r="BG198" s="581"/>
      <c r="BH198" s="581"/>
      <c r="BI198" s="581"/>
      <c r="BJ198" s="581"/>
      <c r="BK198" s="581"/>
      <c r="BL198" s="581"/>
      <c r="BM198" s="581"/>
      <c r="BN198" s="581"/>
      <c r="BO198" s="581"/>
      <c r="BP198" s="581"/>
      <c r="BQ198" s="581"/>
      <c r="BR198" s="581"/>
      <c r="BS198" s="581"/>
      <c r="BT198" s="581"/>
      <c r="BU198" s="581"/>
      <c r="BV198" s="581"/>
      <c r="BW198" s="581"/>
      <c r="BX198" s="581"/>
      <c r="BY198" s="581"/>
      <c r="BZ198" s="581"/>
      <c r="CA198" s="581"/>
      <c r="CB198" s="581"/>
      <c r="CC198" s="581"/>
      <c r="CD198" s="581"/>
      <c r="CE198" s="581"/>
      <c r="CF198" s="581"/>
      <c r="CG198" s="581"/>
      <c r="CH198" s="581"/>
      <c r="CI198" s="581"/>
      <c r="CJ198" s="581"/>
      <c r="CK198" s="581"/>
      <c r="CL198" s="581"/>
      <c r="CM198" s="581"/>
      <c r="CN198" s="581"/>
      <c r="CO198" s="581"/>
      <c r="CP198" s="581"/>
      <c r="CQ198" s="581"/>
      <c r="CR198" s="581"/>
      <c r="CS198" s="581"/>
      <c r="CT198" s="581"/>
      <c r="CU198" s="581"/>
      <c r="CV198" s="581"/>
      <c r="CW198" s="581"/>
      <c r="CX198" s="581"/>
      <c r="CY198" s="581"/>
      <c r="CZ198" s="581"/>
      <c r="DA198" s="581"/>
      <c r="DB198" s="581"/>
      <c r="DC198" s="581"/>
      <c r="DD198" s="581"/>
      <c r="DE198" s="581"/>
      <c r="DF198" s="581"/>
      <c r="DG198" s="581"/>
      <c r="DH198" s="581"/>
      <c r="DI198" s="581"/>
      <c r="DJ198" s="581"/>
      <c r="DK198" s="581"/>
      <c r="DL198" s="581"/>
      <c r="DM198" s="581"/>
      <c r="DN198" s="581"/>
      <c r="DO198" s="581"/>
      <c r="DP198" s="581"/>
      <c r="DQ198" s="581"/>
      <c r="DR198" s="581"/>
      <c r="DS198" s="581"/>
      <c r="DT198" s="581"/>
      <c r="DU198" s="581"/>
      <c r="DV198" s="581"/>
      <c r="DW198" s="581"/>
      <c r="DX198" s="581"/>
      <c r="DY198" s="581"/>
      <c r="DZ198" s="581"/>
      <c r="EA198" s="581"/>
      <c r="EB198" s="581"/>
      <c r="EC198" s="581"/>
      <c r="ED198" s="581"/>
      <c r="EE198" s="581"/>
      <c r="EF198" s="581"/>
      <c r="EG198" s="581"/>
      <c r="EH198" s="581"/>
      <c r="EI198" s="581"/>
      <c r="EJ198" s="581"/>
    </row>
    <row r="199" spans="1:140" ht="93">
      <c r="A199" s="801" t="s">
        <v>856</v>
      </c>
      <c r="B199" s="758" t="s">
        <v>811</v>
      </c>
      <c r="C199" s="808" t="s">
        <v>812</v>
      </c>
      <c r="D199" s="758">
        <v>1</v>
      </c>
      <c r="E199" s="849" t="s">
        <v>16</v>
      </c>
      <c r="F199" s="734">
        <v>3250</v>
      </c>
      <c r="G199" s="602">
        <v>37829</v>
      </c>
      <c r="H199" s="603"/>
      <c r="I199" s="603"/>
      <c r="J199" s="601">
        <f>SUM(F199/K199)*G199</f>
        <v>20490708.333333332</v>
      </c>
      <c r="K199" s="575">
        <v>6</v>
      </c>
      <c r="L199" s="569"/>
      <c r="M199" s="569"/>
      <c r="N199" s="569"/>
      <c r="O199" s="569"/>
      <c r="AG199" s="578"/>
      <c r="AH199" s="578"/>
      <c r="AI199" s="578"/>
      <c r="AJ199" s="578"/>
      <c r="AK199" s="578"/>
      <c r="AL199" s="579"/>
      <c r="AM199" s="580"/>
      <c r="AN199" s="581"/>
      <c r="AO199" s="581"/>
      <c r="AP199" s="579"/>
      <c r="AQ199" s="582"/>
      <c r="AR199" s="581"/>
      <c r="AS199" s="581"/>
      <c r="AT199" s="581"/>
      <c r="AU199" s="581"/>
      <c r="AV199" s="581"/>
      <c r="AW199" s="581"/>
      <c r="AX199" s="581"/>
      <c r="AY199" s="581"/>
      <c r="AZ199" s="581"/>
      <c r="BA199" s="581"/>
      <c r="BB199" s="581"/>
      <c r="BC199" s="581"/>
      <c r="BD199" s="581"/>
      <c r="BE199" s="581"/>
      <c r="BF199" s="581"/>
      <c r="BG199" s="581"/>
      <c r="BH199" s="581"/>
      <c r="BI199" s="581"/>
      <c r="BJ199" s="581"/>
      <c r="BK199" s="581"/>
      <c r="BL199" s="581"/>
      <c r="BM199" s="581"/>
      <c r="BN199" s="581"/>
      <c r="BO199" s="581"/>
      <c r="BP199" s="581"/>
      <c r="BQ199" s="581"/>
      <c r="BR199" s="581"/>
      <c r="BS199" s="581"/>
      <c r="BT199" s="581"/>
      <c r="BU199" s="581"/>
      <c r="BV199" s="581"/>
      <c r="BW199" s="581"/>
      <c r="BX199" s="581"/>
      <c r="BY199" s="581"/>
      <c r="BZ199" s="581"/>
      <c r="CA199" s="581"/>
      <c r="CB199" s="581"/>
      <c r="CC199" s="581"/>
      <c r="CD199" s="581"/>
      <c r="CE199" s="581"/>
      <c r="CF199" s="581"/>
      <c r="CG199" s="581"/>
      <c r="CH199" s="581"/>
      <c r="CI199" s="581"/>
      <c r="CJ199" s="581"/>
      <c r="CK199" s="581"/>
      <c r="CL199" s="581"/>
      <c r="CM199" s="581"/>
      <c r="CN199" s="581"/>
      <c r="CO199" s="581"/>
      <c r="CP199" s="581"/>
      <c r="CQ199" s="581"/>
      <c r="CR199" s="581"/>
      <c r="CS199" s="581"/>
      <c r="CT199" s="581"/>
      <c r="CU199" s="581"/>
      <c r="CV199" s="581"/>
      <c r="CW199" s="581"/>
      <c r="CX199" s="581"/>
      <c r="CY199" s="581"/>
      <c r="CZ199" s="581"/>
      <c r="DA199" s="581"/>
      <c r="DB199" s="581"/>
      <c r="DC199" s="581"/>
      <c r="DD199" s="581"/>
      <c r="DE199" s="581"/>
      <c r="DF199" s="581"/>
      <c r="DG199" s="581"/>
      <c r="DH199" s="581"/>
      <c r="DI199" s="581"/>
      <c r="DJ199" s="581"/>
      <c r="DK199" s="581"/>
      <c r="DL199" s="581"/>
      <c r="DM199" s="581"/>
      <c r="DN199" s="581"/>
      <c r="DO199" s="581"/>
      <c r="DP199" s="581"/>
      <c r="DQ199" s="581"/>
      <c r="DR199" s="581"/>
      <c r="DS199" s="581"/>
      <c r="DT199" s="581"/>
      <c r="DU199" s="581"/>
      <c r="DV199" s="581"/>
      <c r="DW199" s="581"/>
      <c r="DX199" s="581"/>
      <c r="DY199" s="581"/>
      <c r="DZ199" s="581"/>
      <c r="EA199" s="581"/>
      <c r="EB199" s="581"/>
      <c r="EC199" s="581"/>
      <c r="ED199" s="581"/>
      <c r="EE199" s="581"/>
      <c r="EF199" s="581"/>
      <c r="EG199" s="581"/>
      <c r="EH199" s="581"/>
      <c r="EI199" s="581"/>
      <c r="EJ199" s="581"/>
    </row>
    <row r="200" spans="1:140" ht="30.75">
      <c r="A200" s="801" t="s">
        <v>870</v>
      </c>
      <c r="B200" s="758"/>
      <c r="C200" s="758"/>
      <c r="D200" s="758"/>
      <c r="E200" s="849"/>
      <c r="F200" s="734"/>
      <c r="G200" s="800"/>
      <c r="H200" s="569"/>
      <c r="I200" s="569"/>
      <c r="J200" s="734"/>
      <c r="K200" s="575"/>
      <c r="L200" s="569"/>
      <c r="M200" s="569"/>
      <c r="N200" s="569"/>
      <c r="O200" s="569"/>
      <c r="AG200" s="578"/>
      <c r="AH200" s="578"/>
      <c r="AI200" s="578"/>
      <c r="AJ200" s="578"/>
      <c r="AK200" s="578"/>
      <c r="AL200" s="579"/>
      <c r="AM200" s="580"/>
      <c r="AN200" s="581"/>
      <c r="AO200" s="581"/>
      <c r="AP200" s="579"/>
      <c r="AQ200" s="582"/>
      <c r="AR200" s="581"/>
      <c r="AS200" s="581"/>
      <c r="AT200" s="581"/>
      <c r="AU200" s="581"/>
      <c r="AV200" s="581"/>
      <c r="AW200" s="581"/>
      <c r="AX200" s="581"/>
      <c r="AY200" s="581"/>
      <c r="AZ200" s="581"/>
      <c r="BA200" s="581"/>
      <c r="BB200" s="581"/>
      <c r="BC200" s="581"/>
      <c r="BD200" s="581"/>
      <c r="BE200" s="581"/>
      <c r="BF200" s="581"/>
      <c r="BG200" s="581"/>
      <c r="BH200" s="581"/>
      <c r="BI200" s="581"/>
      <c r="BJ200" s="581"/>
      <c r="BK200" s="581"/>
      <c r="BL200" s="581"/>
      <c r="BM200" s="581"/>
      <c r="BN200" s="581"/>
      <c r="BO200" s="581"/>
      <c r="BP200" s="581"/>
      <c r="BQ200" s="581"/>
      <c r="BR200" s="581"/>
      <c r="BS200" s="581"/>
      <c r="BT200" s="581"/>
      <c r="BU200" s="581"/>
      <c r="BV200" s="581"/>
      <c r="BW200" s="581"/>
      <c r="BX200" s="581"/>
      <c r="BY200" s="581"/>
      <c r="BZ200" s="581"/>
      <c r="CA200" s="581"/>
      <c r="CB200" s="581"/>
      <c r="CC200" s="581"/>
      <c r="CD200" s="581"/>
      <c r="CE200" s="581"/>
      <c r="CF200" s="581"/>
      <c r="CG200" s="581"/>
      <c r="CH200" s="581"/>
      <c r="CI200" s="581"/>
      <c r="CJ200" s="581"/>
      <c r="CK200" s="581"/>
      <c r="CL200" s="581"/>
      <c r="CM200" s="581"/>
      <c r="CN200" s="581"/>
      <c r="CO200" s="581"/>
      <c r="CP200" s="581"/>
      <c r="CQ200" s="581"/>
      <c r="CR200" s="581"/>
      <c r="CS200" s="581"/>
      <c r="CT200" s="581"/>
      <c r="CU200" s="581"/>
      <c r="CV200" s="581"/>
      <c r="CW200" s="581"/>
      <c r="CX200" s="581"/>
      <c r="CY200" s="581"/>
      <c r="CZ200" s="581"/>
      <c r="DA200" s="581"/>
      <c r="DB200" s="581"/>
      <c r="DC200" s="581"/>
      <c r="DD200" s="581"/>
      <c r="DE200" s="581"/>
      <c r="DF200" s="581"/>
      <c r="DG200" s="581"/>
      <c r="DH200" s="581"/>
      <c r="DI200" s="581"/>
      <c r="DJ200" s="581"/>
      <c r="DK200" s="581"/>
      <c r="DL200" s="581"/>
      <c r="DM200" s="581"/>
      <c r="DN200" s="581"/>
      <c r="DO200" s="581"/>
      <c r="DP200" s="581"/>
      <c r="DQ200" s="581"/>
      <c r="DR200" s="581"/>
      <c r="DS200" s="581"/>
      <c r="DT200" s="581"/>
      <c r="DU200" s="581"/>
      <c r="DV200" s="581"/>
      <c r="DW200" s="581"/>
      <c r="DX200" s="581"/>
      <c r="DY200" s="581"/>
      <c r="DZ200" s="581"/>
      <c r="EA200" s="581"/>
      <c r="EB200" s="581"/>
      <c r="EC200" s="581"/>
      <c r="ED200" s="581"/>
      <c r="EE200" s="581"/>
      <c r="EF200" s="581"/>
      <c r="EG200" s="581"/>
      <c r="EH200" s="581"/>
      <c r="EI200" s="581"/>
      <c r="EJ200" s="581"/>
    </row>
    <row r="201" spans="1:140" ht="15">
      <c r="A201" s="600"/>
      <c r="B201" s="758"/>
      <c r="C201" s="760"/>
      <c r="D201" s="758"/>
      <c r="E201" s="849"/>
      <c r="F201" s="734"/>
      <c r="G201" s="580"/>
      <c r="H201" s="581"/>
      <c r="I201" s="581"/>
      <c r="J201" s="579"/>
      <c r="K201" s="575"/>
      <c r="L201" s="569"/>
      <c r="M201" s="569"/>
      <c r="N201" s="569"/>
      <c r="O201" s="569"/>
      <c r="AG201" s="578"/>
      <c r="AH201" s="578"/>
      <c r="AI201" s="578"/>
      <c r="AJ201" s="578"/>
      <c r="AK201" s="578"/>
      <c r="AL201" s="579"/>
      <c r="AM201" s="580"/>
      <c r="AN201" s="581"/>
      <c r="AO201" s="581"/>
      <c r="AP201" s="579"/>
      <c r="AQ201" s="582"/>
      <c r="AR201" s="581"/>
      <c r="AS201" s="581"/>
      <c r="AT201" s="581"/>
      <c r="AU201" s="581"/>
      <c r="AV201" s="581"/>
      <c r="AW201" s="581"/>
      <c r="AX201" s="581"/>
      <c r="AY201" s="581"/>
      <c r="AZ201" s="581"/>
      <c r="BA201" s="581"/>
      <c r="BB201" s="581"/>
      <c r="BC201" s="581"/>
      <c r="BD201" s="581"/>
      <c r="BE201" s="581"/>
      <c r="BF201" s="581"/>
      <c r="BG201" s="581"/>
      <c r="BH201" s="581"/>
      <c r="BI201" s="581"/>
      <c r="BJ201" s="581"/>
      <c r="BK201" s="581"/>
      <c r="BL201" s="581"/>
      <c r="BM201" s="581"/>
      <c r="BN201" s="581"/>
      <c r="BO201" s="581"/>
      <c r="BP201" s="581"/>
      <c r="BQ201" s="581"/>
      <c r="BR201" s="581"/>
      <c r="BS201" s="581"/>
      <c r="BT201" s="581"/>
      <c r="BU201" s="581"/>
      <c r="BV201" s="581"/>
      <c r="BW201" s="581"/>
      <c r="BX201" s="581"/>
      <c r="BY201" s="581"/>
      <c r="BZ201" s="581"/>
      <c r="CA201" s="581"/>
      <c r="CB201" s="581"/>
      <c r="CC201" s="581"/>
      <c r="CD201" s="581"/>
      <c r="CE201" s="581"/>
      <c r="CF201" s="581"/>
      <c r="CG201" s="581"/>
      <c r="CH201" s="581"/>
      <c r="CI201" s="581"/>
      <c r="CJ201" s="581"/>
      <c r="CK201" s="581"/>
      <c r="CL201" s="581"/>
      <c r="CM201" s="581"/>
      <c r="CN201" s="581"/>
      <c r="CO201" s="581"/>
      <c r="CP201" s="581"/>
      <c r="CQ201" s="581"/>
      <c r="CR201" s="581"/>
      <c r="CS201" s="581"/>
      <c r="CT201" s="581"/>
      <c r="CU201" s="581"/>
      <c r="CV201" s="581"/>
      <c r="CW201" s="581"/>
      <c r="CX201" s="581"/>
      <c r="CY201" s="581"/>
      <c r="CZ201" s="581"/>
      <c r="DA201" s="581"/>
      <c r="DB201" s="581"/>
      <c r="DC201" s="581"/>
      <c r="DD201" s="581"/>
      <c r="DE201" s="581"/>
      <c r="DF201" s="581"/>
      <c r="DG201" s="581"/>
      <c r="DH201" s="581"/>
      <c r="DI201" s="581"/>
      <c r="DJ201" s="581"/>
      <c r="DK201" s="581"/>
      <c r="DL201" s="581"/>
      <c r="DM201" s="581"/>
      <c r="DN201" s="581"/>
      <c r="DO201" s="581"/>
      <c r="DP201" s="581"/>
      <c r="DQ201" s="581"/>
      <c r="DR201" s="581"/>
      <c r="DS201" s="581"/>
      <c r="DT201" s="581"/>
      <c r="DU201" s="581"/>
      <c r="DV201" s="581"/>
      <c r="DW201" s="581"/>
      <c r="DX201" s="581"/>
      <c r="DY201" s="581"/>
      <c r="DZ201" s="581"/>
      <c r="EA201" s="581"/>
      <c r="EB201" s="581"/>
      <c r="EC201" s="581"/>
      <c r="ED201" s="581"/>
      <c r="EE201" s="581"/>
      <c r="EF201" s="581"/>
      <c r="EG201" s="581"/>
      <c r="EH201" s="581"/>
      <c r="EI201" s="581"/>
      <c r="EJ201" s="581"/>
    </row>
    <row r="202" spans="1:140" ht="15">
      <c r="A202" s="631" t="s">
        <v>50</v>
      </c>
      <c r="B202" s="758"/>
      <c r="C202" s="758"/>
      <c r="D202" s="758"/>
      <c r="E202" s="849"/>
      <c r="F202" s="734"/>
      <c r="G202" s="580"/>
      <c r="H202" s="581"/>
      <c r="I202" s="581"/>
      <c r="J202" s="579"/>
      <c r="K202" s="575"/>
      <c r="L202" s="569"/>
      <c r="M202" s="569"/>
      <c r="N202" s="569"/>
      <c r="O202" s="569"/>
      <c r="AG202" s="578"/>
      <c r="AH202" s="578"/>
      <c r="AI202" s="578"/>
      <c r="AJ202" s="578"/>
      <c r="AK202" s="578"/>
      <c r="AL202" s="579"/>
      <c r="AM202" s="580"/>
      <c r="AN202" s="581"/>
      <c r="AO202" s="581"/>
      <c r="AP202" s="579"/>
      <c r="AQ202" s="582"/>
      <c r="AR202" s="581"/>
      <c r="AS202" s="581"/>
      <c r="AT202" s="581"/>
      <c r="AU202" s="581"/>
      <c r="AV202" s="581"/>
      <c r="AW202" s="581"/>
      <c r="AX202" s="581"/>
      <c r="AY202" s="581"/>
      <c r="AZ202" s="581"/>
      <c r="BA202" s="581"/>
      <c r="BB202" s="581"/>
      <c r="BC202" s="581"/>
      <c r="BD202" s="581"/>
      <c r="BE202" s="581"/>
      <c r="BF202" s="581"/>
      <c r="BG202" s="581"/>
      <c r="BH202" s="581"/>
      <c r="BI202" s="581"/>
      <c r="BJ202" s="581"/>
      <c r="BK202" s="581"/>
      <c r="BL202" s="581"/>
      <c r="BM202" s="581"/>
      <c r="BN202" s="581"/>
      <c r="BO202" s="581"/>
      <c r="BP202" s="581"/>
      <c r="BQ202" s="581"/>
      <c r="BR202" s="581"/>
      <c r="BS202" s="581"/>
      <c r="BT202" s="581"/>
      <c r="BU202" s="581"/>
      <c r="BV202" s="581"/>
      <c r="BW202" s="581"/>
      <c r="BX202" s="581"/>
      <c r="BY202" s="581"/>
      <c r="BZ202" s="581"/>
      <c r="CA202" s="581"/>
      <c r="CB202" s="581"/>
      <c r="CC202" s="581"/>
      <c r="CD202" s="581"/>
      <c r="CE202" s="581"/>
      <c r="CF202" s="581"/>
      <c r="CG202" s="581"/>
      <c r="CH202" s="581"/>
      <c r="CI202" s="581"/>
      <c r="CJ202" s="581"/>
      <c r="CK202" s="581"/>
      <c r="CL202" s="581"/>
      <c r="CM202" s="581"/>
      <c r="CN202" s="581"/>
      <c r="CO202" s="581"/>
      <c r="CP202" s="581"/>
      <c r="CQ202" s="581"/>
      <c r="CR202" s="581"/>
      <c r="CS202" s="581"/>
      <c r="CT202" s="581"/>
      <c r="CU202" s="581"/>
      <c r="CV202" s="581"/>
      <c r="CW202" s="581"/>
      <c r="CX202" s="581"/>
      <c r="CY202" s="581"/>
      <c r="CZ202" s="581"/>
      <c r="DA202" s="581"/>
      <c r="DB202" s="581"/>
      <c r="DC202" s="581"/>
      <c r="DD202" s="581"/>
      <c r="DE202" s="581"/>
      <c r="DF202" s="581"/>
      <c r="DG202" s="581"/>
      <c r="DH202" s="581"/>
      <c r="DI202" s="581"/>
      <c r="DJ202" s="581"/>
      <c r="DK202" s="581"/>
      <c r="DL202" s="581"/>
      <c r="DM202" s="581"/>
      <c r="DN202" s="581"/>
      <c r="DO202" s="581"/>
      <c r="DP202" s="581"/>
      <c r="DQ202" s="581"/>
      <c r="DR202" s="581"/>
      <c r="DS202" s="581"/>
      <c r="DT202" s="581"/>
      <c r="DU202" s="581"/>
      <c r="DV202" s="581"/>
      <c r="DW202" s="581"/>
      <c r="DX202" s="581"/>
      <c r="DY202" s="581"/>
      <c r="DZ202" s="581"/>
      <c r="EA202" s="581"/>
      <c r="EB202" s="581"/>
      <c r="EC202" s="581"/>
      <c r="ED202" s="581"/>
      <c r="EE202" s="581"/>
      <c r="EF202" s="581"/>
      <c r="EG202" s="581"/>
      <c r="EH202" s="581"/>
      <c r="EI202" s="581"/>
      <c r="EJ202" s="581"/>
    </row>
    <row r="203" spans="1:140" ht="15">
      <c r="A203" s="557" t="s">
        <v>51</v>
      </c>
      <c r="B203" s="760"/>
      <c r="C203" s="760"/>
      <c r="D203" s="758"/>
      <c r="E203" s="849"/>
      <c r="F203" s="734"/>
      <c r="G203" s="580"/>
      <c r="H203" s="581"/>
      <c r="I203" s="581"/>
      <c r="J203" s="579"/>
      <c r="K203" s="575"/>
      <c r="L203" s="569"/>
      <c r="M203" s="569"/>
      <c r="N203" s="569"/>
      <c r="O203" s="569"/>
      <c r="AG203" s="578"/>
      <c r="AH203" s="578"/>
      <c r="AI203" s="578"/>
      <c r="AJ203" s="578"/>
      <c r="AK203" s="578"/>
      <c r="AL203" s="579"/>
      <c r="AM203" s="580"/>
      <c r="AN203" s="581"/>
      <c r="AO203" s="581"/>
      <c r="AP203" s="579"/>
      <c r="AQ203" s="582"/>
      <c r="AR203" s="581"/>
      <c r="AS203" s="581"/>
      <c r="AT203" s="581"/>
      <c r="AU203" s="581"/>
      <c r="AV203" s="581"/>
      <c r="AW203" s="581"/>
      <c r="AX203" s="581"/>
      <c r="AY203" s="581"/>
      <c r="AZ203" s="581"/>
      <c r="BA203" s="581"/>
      <c r="BB203" s="581"/>
      <c r="BC203" s="581"/>
      <c r="BD203" s="581"/>
      <c r="BE203" s="581"/>
      <c r="BF203" s="581"/>
      <c r="BG203" s="581"/>
      <c r="BH203" s="581"/>
      <c r="BI203" s="581"/>
      <c r="BJ203" s="581"/>
      <c r="BK203" s="581"/>
      <c r="BL203" s="581"/>
      <c r="BM203" s="581"/>
      <c r="BN203" s="581"/>
      <c r="BO203" s="581"/>
      <c r="BP203" s="581"/>
      <c r="BQ203" s="581"/>
      <c r="BR203" s="581"/>
      <c r="BS203" s="581"/>
      <c r="BT203" s="581"/>
      <c r="BU203" s="581"/>
      <c r="BV203" s="581"/>
      <c r="BW203" s="581"/>
      <c r="BX203" s="581"/>
      <c r="BY203" s="581"/>
      <c r="BZ203" s="581"/>
      <c r="CA203" s="581"/>
      <c r="CB203" s="581"/>
      <c r="CC203" s="581"/>
      <c r="CD203" s="581"/>
      <c r="CE203" s="581"/>
      <c r="CF203" s="581"/>
      <c r="CG203" s="581"/>
      <c r="CH203" s="581"/>
      <c r="CI203" s="581"/>
      <c r="CJ203" s="581"/>
      <c r="CK203" s="581"/>
      <c r="CL203" s="581"/>
      <c r="CM203" s="581"/>
      <c r="CN203" s="581"/>
      <c r="CO203" s="581"/>
      <c r="CP203" s="581"/>
      <c r="CQ203" s="581"/>
      <c r="CR203" s="581"/>
      <c r="CS203" s="581"/>
      <c r="CT203" s="581"/>
      <c r="CU203" s="581"/>
      <c r="CV203" s="581"/>
      <c r="CW203" s="581"/>
      <c r="CX203" s="581"/>
      <c r="CY203" s="581"/>
      <c r="CZ203" s="581"/>
      <c r="DA203" s="581"/>
      <c r="DB203" s="581"/>
      <c r="DC203" s="581"/>
      <c r="DD203" s="581"/>
      <c r="DE203" s="581"/>
      <c r="DF203" s="581"/>
      <c r="DG203" s="581"/>
      <c r="DH203" s="581"/>
      <c r="DI203" s="581"/>
      <c r="DJ203" s="581"/>
      <c r="DK203" s="581"/>
      <c r="DL203" s="581"/>
      <c r="DM203" s="581"/>
      <c r="DN203" s="581"/>
      <c r="DO203" s="581"/>
      <c r="DP203" s="581"/>
      <c r="DQ203" s="581"/>
      <c r="DR203" s="581"/>
      <c r="DS203" s="581"/>
      <c r="DT203" s="581"/>
      <c r="DU203" s="581"/>
      <c r="DV203" s="581"/>
      <c r="DW203" s="581"/>
      <c r="DX203" s="581"/>
      <c r="DY203" s="581"/>
      <c r="DZ203" s="581"/>
      <c r="EA203" s="581"/>
      <c r="EB203" s="581"/>
      <c r="EC203" s="581"/>
      <c r="ED203" s="581"/>
      <c r="EE203" s="581"/>
      <c r="EF203" s="581"/>
      <c r="EG203" s="581"/>
      <c r="EH203" s="581"/>
      <c r="EI203" s="581"/>
      <c r="EJ203" s="581"/>
    </row>
    <row r="204" spans="1:140" ht="46.5">
      <c r="A204" s="801" t="s">
        <v>736</v>
      </c>
      <c r="B204" s="758"/>
      <c r="C204" s="758"/>
      <c r="D204" s="758"/>
      <c r="E204" s="849"/>
      <c r="F204" s="734"/>
      <c r="G204" s="580"/>
      <c r="H204" s="581"/>
      <c r="I204" s="581"/>
      <c r="J204" s="579"/>
      <c r="K204" s="575"/>
      <c r="L204" s="569"/>
      <c r="M204" s="569"/>
      <c r="N204" s="569"/>
      <c r="O204" s="569"/>
      <c r="AG204" s="578"/>
      <c r="AH204" s="578"/>
      <c r="AI204" s="578"/>
      <c r="AJ204" s="578"/>
      <c r="AK204" s="578"/>
      <c r="AL204" s="579"/>
      <c r="AM204" s="580"/>
      <c r="AN204" s="581"/>
      <c r="AO204" s="581"/>
      <c r="AP204" s="579"/>
      <c r="AQ204" s="582"/>
      <c r="AR204" s="581"/>
      <c r="AS204" s="581"/>
      <c r="AT204" s="581"/>
      <c r="AU204" s="581"/>
      <c r="AV204" s="581"/>
      <c r="AW204" s="581"/>
      <c r="AX204" s="581"/>
      <c r="AY204" s="581"/>
      <c r="AZ204" s="581"/>
      <c r="BA204" s="581"/>
      <c r="BB204" s="581"/>
      <c r="BC204" s="581"/>
      <c r="BD204" s="581"/>
      <c r="BE204" s="581"/>
      <c r="BF204" s="581"/>
      <c r="BG204" s="581"/>
      <c r="BH204" s="581"/>
      <c r="BI204" s="581"/>
      <c r="BJ204" s="581"/>
      <c r="BK204" s="581"/>
      <c r="BL204" s="581"/>
      <c r="BM204" s="581"/>
      <c r="BN204" s="581"/>
      <c r="BO204" s="581"/>
      <c r="BP204" s="581"/>
      <c r="BQ204" s="581"/>
      <c r="BR204" s="581"/>
      <c r="BS204" s="581"/>
      <c r="BT204" s="581"/>
      <c r="BU204" s="581"/>
      <c r="BV204" s="581"/>
      <c r="BW204" s="581"/>
      <c r="BX204" s="581"/>
      <c r="BY204" s="581"/>
      <c r="BZ204" s="581"/>
      <c r="CA204" s="581"/>
      <c r="CB204" s="581"/>
      <c r="CC204" s="581"/>
      <c r="CD204" s="581"/>
      <c r="CE204" s="581"/>
      <c r="CF204" s="581"/>
      <c r="CG204" s="581"/>
      <c r="CH204" s="581"/>
      <c r="CI204" s="581"/>
      <c r="CJ204" s="581"/>
      <c r="CK204" s="581"/>
      <c r="CL204" s="581"/>
      <c r="CM204" s="581"/>
      <c r="CN204" s="581"/>
      <c r="CO204" s="581"/>
      <c r="CP204" s="581"/>
      <c r="CQ204" s="581"/>
      <c r="CR204" s="581"/>
      <c r="CS204" s="581"/>
      <c r="CT204" s="581"/>
      <c r="CU204" s="581"/>
      <c r="CV204" s="581"/>
      <c r="CW204" s="581"/>
      <c r="CX204" s="581"/>
      <c r="CY204" s="581"/>
      <c r="CZ204" s="581"/>
      <c r="DA204" s="581"/>
      <c r="DB204" s="581"/>
      <c r="DC204" s="581"/>
      <c r="DD204" s="581"/>
      <c r="DE204" s="581"/>
      <c r="DF204" s="581"/>
      <c r="DG204" s="581"/>
      <c r="DH204" s="581"/>
      <c r="DI204" s="581"/>
      <c r="DJ204" s="581"/>
      <c r="DK204" s="581"/>
      <c r="DL204" s="581"/>
      <c r="DM204" s="581"/>
      <c r="DN204" s="581"/>
      <c r="DO204" s="581"/>
      <c r="DP204" s="581"/>
      <c r="DQ204" s="581"/>
      <c r="DR204" s="581"/>
      <c r="DS204" s="581"/>
      <c r="DT204" s="581"/>
      <c r="DU204" s="581"/>
      <c r="DV204" s="581"/>
      <c r="DW204" s="581"/>
      <c r="DX204" s="581"/>
      <c r="DY204" s="581"/>
      <c r="DZ204" s="581"/>
      <c r="EA204" s="581"/>
      <c r="EB204" s="581"/>
      <c r="EC204" s="581"/>
      <c r="ED204" s="581"/>
      <c r="EE204" s="581"/>
      <c r="EF204" s="581"/>
      <c r="EG204" s="581"/>
      <c r="EH204" s="581"/>
      <c r="EI204" s="581"/>
      <c r="EJ204" s="581"/>
    </row>
    <row r="205" spans="1:140" ht="15">
      <c r="A205" s="624"/>
      <c r="B205" s="756"/>
      <c r="C205" s="756"/>
      <c r="D205" s="758"/>
      <c r="E205" s="849"/>
      <c r="F205" s="734"/>
      <c r="G205" s="816"/>
      <c r="H205" s="817"/>
      <c r="I205" s="817"/>
      <c r="J205" s="818"/>
      <c r="K205" s="575"/>
      <c r="L205" s="569"/>
      <c r="M205" s="569"/>
      <c r="N205" s="569"/>
      <c r="O205" s="569"/>
      <c r="AG205" s="578"/>
      <c r="AH205" s="578"/>
      <c r="AI205" s="578"/>
      <c r="AJ205" s="578"/>
      <c r="AK205" s="578"/>
      <c r="AL205" s="579"/>
      <c r="AM205" s="580"/>
      <c r="AN205" s="581"/>
      <c r="AO205" s="581"/>
      <c r="AP205" s="579"/>
      <c r="AQ205" s="582"/>
      <c r="AR205" s="581"/>
      <c r="AS205" s="581"/>
      <c r="AT205" s="581"/>
      <c r="AU205" s="581"/>
      <c r="AV205" s="581"/>
      <c r="AW205" s="581"/>
      <c r="AX205" s="581"/>
      <c r="AY205" s="581"/>
      <c r="AZ205" s="581"/>
      <c r="BA205" s="581"/>
      <c r="BB205" s="581"/>
      <c r="BC205" s="581"/>
      <c r="BD205" s="581"/>
      <c r="BE205" s="581"/>
      <c r="BF205" s="581"/>
      <c r="BG205" s="581"/>
      <c r="BH205" s="581"/>
      <c r="BI205" s="581"/>
      <c r="BJ205" s="581"/>
      <c r="BK205" s="581"/>
      <c r="BL205" s="581"/>
      <c r="BM205" s="581"/>
      <c r="BN205" s="581"/>
      <c r="BO205" s="581"/>
      <c r="BP205" s="581"/>
      <c r="BQ205" s="581"/>
      <c r="BR205" s="581"/>
      <c r="BS205" s="581"/>
      <c r="BT205" s="581"/>
      <c r="BU205" s="581"/>
      <c r="BV205" s="581"/>
      <c r="BW205" s="581"/>
      <c r="BX205" s="581"/>
      <c r="BY205" s="581"/>
      <c r="BZ205" s="581"/>
      <c r="CA205" s="581"/>
      <c r="CB205" s="581"/>
      <c r="CC205" s="581"/>
      <c r="CD205" s="581"/>
      <c r="CE205" s="581"/>
      <c r="CF205" s="581"/>
      <c r="CG205" s="581"/>
      <c r="CH205" s="581"/>
      <c r="CI205" s="581"/>
      <c r="CJ205" s="581"/>
      <c r="CK205" s="581"/>
      <c r="CL205" s="581"/>
      <c r="CM205" s="581"/>
      <c r="CN205" s="581"/>
      <c r="CO205" s="581"/>
      <c r="CP205" s="581"/>
      <c r="CQ205" s="581"/>
      <c r="CR205" s="581"/>
      <c r="CS205" s="581"/>
      <c r="CT205" s="581"/>
      <c r="CU205" s="581"/>
      <c r="CV205" s="581"/>
      <c r="CW205" s="581"/>
      <c r="CX205" s="581"/>
      <c r="CY205" s="581"/>
      <c r="CZ205" s="581"/>
      <c r="DA205" s="581"/>
      <c r="DB205" s="581"/>
      <c r="DC205" s="581"/>
      <c r="DD205" s="581"/>
      <c r="DE205" s="581"/>
      <c r="DF205" s="581"/>
      <c r="DG205" s="581"/>
      <c r="DH205" s="581"/>
      <c r="DI205" s="581"/>
      <c r="DJ205" s="581"/>
      <c r="DK205" s="581"/>
      <c r="DL205" s="581"/>
      <c r="DM205" s="581"/>
      <c r="DN205" s="581"/>
      <c r="DO205" s="581"/>
      <c r="DP205" s="581"/>
      <c r="DQ205" s="581"/>
      <c r="DR205" s="581"/>
      <c r="DS205" s="581"/>
      <c r="DT205" s="581"/>
      <c r="DU205" s="581"/>
      <c r="DV205" s="581"/>
      <c r="DW205" s="581"/>
      <c r="DX205" s="581"/>
      <c r="DY205" s="581"/>
      <c r="DZ205" s="581"/>
      <c r="EA205" s="581"/>
      <c r="EB205" s="581"/>
      <c r="EC205" s="581"/>
      <c r="ED205" s="581"/>
      <c r="EE205" s="581"/>
      <c r="EF205" s="581"/>
      <c r="EG205" s="581"/>
      <c r="EH205" s="581"/>
      <c r="EI205" s="581"/>
      <c r="EJ205" s="581"/>
    </row>
    <row r="206" spans="1:140" ht="49.5">
      <c r="A206" s="664" t="s">
        <v>54</v>
      </c>
      <c r="B206" s="760"/>
      <c r="C206" s="760"/>
      <c r="D206" s="857"/>
      <c r="E206" s="852"/>
      <c r="F206" s="734"/>
      <c r="G206" s="816"/>
      <c r="H206" s="817"/>
      <c r="I206" s="817"/>
      <c r="J206" s="818"/>
      <c r="K206" s="575"/>
      <c r="L206" s="569"/>
      <c r="M206" s="569"/>
      <c r="N206" s="569"/>
      <c r="O206" s="569"/>
      <c r="AG206" s="578"/>
      <c r="AH206" s="578"/>
      <c r="AI206" s="578"/>
      <c r="AJ206" s="578"/>
      <c r="AK206" s="578"/>
      <c r="AL206" s="579"/>
      <c r="AM206" s="580"/>
      <c r="AN206" s="581"/>
      <c r="AO206" s="581"/>
      <c r="AP206" s="579"/>
      <c r="AQ206" s="582"/>
      <c r="AR206" s="581"/>
      <c r="AS206" s="581"/>
      <c r="AT206" s="581"/>
      <c r="AU206" s="581"/>
      <c r="AV206" s="581"/>
      <c r="AW206" s="581"/>
      <c r="AX206" s="581"/>
      <c r="AY206" s="581"/>
      <c r="AZ206" s="581"/>
      <c r="BA206" s="581"/>
      <c r="BB206" s="581"/>
      <c r="BC206" s="581"/>
      <c r="BD206" s="581"/>
      <c r="BE206" s="581"/>
      <c r="BF206" s="581"/>
      <c r="BG206" s="581"/>
      <c r="BH206" s="581"/>
      <c r="BI206" s="581"/>
      <c r="BJ206" s="581"/>
      <c r="BK206" s="581"/>
      <c r="BL206" s="581"/>
      <c r="BM206" s="581"/>
      <c r="BN206" s="581"/>
      <c r="BO206" s="581"/>
      <c r="BP206" s="581"/>
      <c r="BQ206" s="581"/>
      <c r="BR206" s="581"/>
      <c r="BS206" s="581"/>
      <c r="BT206" s="581"/>
      <c r="BU206" s="581"/>
      <c r="BV206" s="581"/>
      <c r="BW206" s="581"/>
      <c r="BX206" s="581"/>
      <c r="BY206" s="581"/>
      <c r="BZ206" s="581"/>
      <c r="CA206" s="581"/>
      <c r="CB206" s="581"/>
      <c r="CC206" s="581"/>
      <c r="CD206" s="581"/>
      <c r="CE206" s="581"/>
      <c r="CF206" s="581"/>
      <c r="CG206" s="581"/>
      <c r="CH206" s="581"/>
      <c r="CI206" s="581"/>
      <c r="CJ206" s="581"/>
      <c r="CK206" s="581"/>
      <c r="CL206" s="581"/>
      <c r="CM206" s="581"/>
      <c r="CN206" s="581"/>
      <c r="CO206" s="581"/>
      <c r="CP206" s="581"/>
      <c r="CQ206" s="581"/>
      <c r="CR206" s="581"/>
      <c r="CS206" s="581"/>
      <c r="CT206" s="581"/>
      <c r="CU206" s="581"/>
      <c r="CV206" s="581"/>
      <c r="CW206" s="581"/>
      <c r="CX206" s="581"/>
      <c r="CY206" s="581"/>
      <c r="CZ206" s="581"/>
      <c r="DA206" s="581"/>
      <c r="DB206" s="581"/>
      <c r="DC206" s="581"/>
      <c r="DD206" s="581"/>
      <c r="DE206" s="581"/>
      <c r="DF206" s="581"/>
      <c r="DG206" s="581"/>
      <c r="DH206" s="581"/>
      <c r="DI206" s="581"/>
      <c r="DJ206" s="581"/>
      <c r="DK206" s="581"/>
      <c r="DL206" s="581"/>
      <c r="DM206" s="581"/>
      <c r="DN206" s="581"/>
      <c r="DO206" s="581"/>
      <c r="DP206" s="581"/>
      <c r="DQ206" s="581"/>
      <c r="DR206" s="581"/>
      <c r="DS206" s="581"/>
      <c r="DT206" s="581"/>
      <c r="DU206" s="581"/>
      <c r="DV206" s="581"/>
      <c r="DW206" s="581"/>
      <c r="DX206" s="581"/>
      <c r="DY206" s="581"/>
      <c r="DZ206" s="581"/>
      <c r="EA206" s="581"/>
      <c r="EB206" s="581"/>
      <c r="EC206" s="581"/>
      <c r="ED206" s="581"/>
      <c r="EE206" s="581"/>
      <c r="EF206" s="581"/>
      <c r="EG206" s="581"/>
      <c r="EH206" s="581"/>
      <c r="EI206" s="581"/>
      <c r="EJ206" s="581"/>
    </row>
    <row r="207" spans="1:140" ht="15.75" thickBot="1">
      <c r="A207" s="624"/>
      <c r="B207" s="760"/>
      <c r="C207" s="760"/>
      <c r="D207" s="758"/>
      <c r="E207" s="849"/>
      <c r="F207" s="734"/>
      <c r="G207" s="816"/>
      <c r="H207" s="817"/>
      <c r="I207" s="817"/>
      <c r="J207" s="818"/>
      <c r="K207" s="575"/>
      <c r="L207" s="569"/>
      <c r="M207" s="569"/>
      <c r="N207" s="569"/>
      <c r="O207" s="569"/>
      <c r="AG207" s="578"/>
      <c r="AH207" s="578"/>
      <c r="AI207" s="578"/>
      <c r="AJ207" s="578"/>
      <c r="AK207" s="578"/>
      <c r="AL207" s="579"/>
      <c r="AM207" s="580"/>
      <c r="AN207" s="581"/>
      <c r="AO207" s="581"/>
      <c r="AP207" s="579"/>
      <c r="AQ207" s="582"/>
      <c r="AR207" s="581"/>
      <c r="AS207" s="581"/>
      <c r="AT207" s="581"/>
      <c r="AU207" s="581"/>
      <c r="AV207" s="581"/>
      <c r="AW207" s="581"/>
      <c r="AX207" s="581"/>
      <c r="AY207" s="581"/>
      <c r="AZ207" s="581"/>
      <c r="BA207" s="581"/>
      <c r="BB207" s="581"/>
      <c r="BC207" s="581"/>
      <c r="BD207" s="581"/>
      <c r="BE207" s="581"/>
      <c r="BF207" s="581"/>
      <c r="BG207" s="581"/>
      <c r="BH207" s="581"/>
      <c r="BI207" s="581"/>
      <c r="BJ207" s="581"/>
      <c r="BK207" s="581"/>
      <c r="BL207" s="581"/>
      <c r="BM207" s="581"/>
      <c r="BN207" s="581"/>
      <c r="BO207" s="581"/>
      <c r="BP207" s="581"/>
      <c r="BQ207" s="581"/>
      <c r="BR207" s="581"/>
      <c r="BS207" s="581"/>
      <c r="BT207" s="581"/>
      <c r="BU207" s="581"/>
      <c r="BV207" s="581"/>
      <c r="BW207" s="581"/>
      <c r="BX207" s="581"/>
      <c r="BY207" s="581"/>
      <c r="BZ207" s="581"/>
      <c r="CA207" s="581"/>
      <c r="CB207" s="581"/>
      <c r="CC207" s="581"/>
      <c r="CD207" s="581"/>
      <c r="CE207" s="581"/>
      <c r="CF207" s="581"/>
      <c r="CG207" s="581"/>
      <c r="CH207" s="581"/>
      <c r="CI207" s="581"/>
      <c r="CJ207" s="581"/>
      <c r="CK207" s="581"/>
      <c r="CL207" s="581"/>
      <c r="CM207" s="581"/>
      <c r="CN207" s="581"/>
      <c r="CO207" s="581"/>
      <c r="CP207" s="581"/>
      <c r="CQ207" s="581"/>
      <c r="CR207" s="581"/>
      <c r="CS207" s="581"/>
      <c r="CT207" s="581"/>
      <c r="CU207" s="581"/>
      <c r="CV207" s="581"/>
      <c r="CW207" s="581"/>
      <c r="CX207" s="581"/>
      <c r="CY207" s="581"/>
      <c r="CZ207" s="581"/>
      <c r="DA207" s="581"/>
      <c r="DB207" s="581"/>
      <c r="DC207" s="581"/>
      <c r="DD207" s="581"/>
      <c r="DE207" s="581"/>
      <c r="DF207" s="581"/>
      <c r="DG207" s="581"/>
      <c r="DH207" s="581"/>
      <c r="DI207" s="581"/>
      <c r="DJ207" s="581"/>
      <c r="DK207" s="581"/>
      <c r="DL207" s="581"/>
      <c r="DM207" s="581"/>
      <c r="DN207" s="581"/>
      <c r="DO207" s="581"/>
      <c r="DP207" s="581"/>
      <c r="DQ207" s="581"/>
      <c r="DR207" s="581"/>
      <c r="DS207" s="581"/>
      <c r="DT207" s="581"/>
      <c r="DU207" s="581"/>
      <c r="DV207" s="581"/>
      <c r="DW207" s="581"/>
      <c r="DX207" s="581"/>
      <c r="DY207" s="581"/>
      <c r="DZ207" s="581"/>
      <c r="EA207" s="581"/>
      <c r="EB207" s="581"/>
      <c r="EC207" s="581"/>
      <c r="ED207" s="581"/>
      <c r="EE207" s="581"/>
      <c r="EF207" s="581"/>
      <c r="EG207" s="581"/>
      <c r="EH207" s="581"/>
      <c r="EI207" s="581"/>
      <c r="EJ207" s="581"/>
    </row>
    <row r="208" spans="1:140" ht="51" thickBot="1" thickTop="1">
      <c r="A208" s="545" t="s">
        <v>55</v>
      </c>
      <c r="B208" s="758"/>
      <c r="C208" s="758"/>
      <c r="D208" s="758"/>
      <c r="E208" s="849"/>
      <c r="F208" s="734"/>
      <c r="G208" s="580"/>
      <c r="H208" s="581"/>
      <c r="I208" s="581"/>
      <c r="J208" s="579"/>
      <c r="K208" s="575"/>
      <c r="L208" s="569"/>
      <c r="M208" s="569"/>
      <c r="N208" s="569"/>
      <c r="O208" s="569"/>
      <c r="AG208" s="578"/>
      <c r="AH208" s="578"/>
      <c r="AI208" s="578"/>
      <c r="AJ208" s="578"/>
      <c r="AK208" s="578"/>
      <c r="AL208" s="579"/>
      <c r="AM208" s="580"/>
      <c r="AN208" s="581"/>
      <c r="AO208" s="581"/>
      <c r="AP208" s="579"/>
      <c r="AQ208" s="582"/>
      <c r="AR208" s="581"/>
      <c r="AS208" s="581"/>
      <c r="AT208" s="581"/>
      <c r="AU208" s="581"/>
      <c r="AV208" s="581"/>
      <c r="AW208" s="581"/>
      <c r="AX208" s="581"/>
      <c r="AY208" s="581"/>
      <c r="AZ208" s="581"/>
      <c r="BA208" s="581"/>
      <c r="BB208" s="581"/>
      <c r="BC208" s="581"/>
      <c r="BD208" s="581"/>
      <c r="BE208" s="581"/>
      <c r="BF208" s="581"/>
      <c r="BG208" s="581"/>
      <c r="BH208" s="581"/>
      <c r="BI208" s="581"/>
      <c r="BJ208" s="581"/>
      <c r="BK208" s="581"/>
      <c r="BL208" s="581"/>
      <c r="BM208" s="581"/>
      <c r="BN208" s="581"/>
      <c r="BO208" s="581"/>
      <c r="BP208" s="581"/>
      <c r="BQ208" s="581"/>
      <c r="BR208" s="581"/>
      <c r="BS208" s="581"/>
      <c r="BT208" s="581"/>
      <c r="BU208" s="581"/>
      <c r="BV208" s="581"/>
      <c r="BW208" s="581"/>
      <c r="BX208" s="581"/>
      <c r="BY208" s="581"/>
      <c r="BZ208" s="581"/>
      <c r="CA208" s="581"/>
      <c r="CB208" s="581"/>
      <c r="CC208" s="581"/>
      <c r="CD208" s="581"/>
      <c r="CE208" s="581"/>
      <c r="CF208" s="581"/>
      <c r="CG208" s="581"/>
      <c r="CH208" s="581"/>
      <c r="CI208" s="581"/>
      <c r="CJ208" s="581"/>
      <c r="CK208" s="581"/>
      <c r="CL208" s="581"/>
      <c r="CM208" s="581"/>
      <c r="CN208" s="581"/>
      <c r="CO208" s="581"/>
      <c r="CP208" s="581"/>
      <c r="CQ208" s="581"/>
      <c r="CR208" s="581"/>
      <c r="CS208" s="581"/>
      <c r="CT208" s="581"/>
      <c r="CU208" s="581"/>
      <c r="CV208" s="581"/>
      <c r="CW208" s="581"/>
      <c r="CX208" s="581"/>
      <c r="CY208" s="581"/>
      <c r="CZ208" s="581"/>
      <c r="DA208" s="581"/>
      <c r="DB208" s="581"/>
      <c r="DC208" s="581"/>
      <c r="DD208" s="581"/>
      <c r="DE208" s="581"/>
      <c r="DF208" s="581"/>
      <c r="DG208" s="581"/>
      <c r="DH208" s="581"/>
      <c r="DI208" s="581"/>
      <c r="DJ208" s="581"/>
      <c r="DK208" s="581"/>
      <c r="DL208" s="581"/>
      <c r="DM208" s="581"/>
      <c r="DN208" s="581"/>
      <c r="DO208" s="581"/>
      <c r="DP208" s="581"/>
      <c r="DQ208" s="581"/>
      <c r="DR208" s="581"/>
      <c r="DS208" s="581"/>
      <c r="DT208" s="581"/>
      <c r="DU208" s="581"/>
      <c r="DV208" s="581"/>
      <c r="DW208" s="581"/>
      <c r="DX208" s="581"/>
      <c r="DY208" s="581"/>
      <c r="DZ208" s="581"/>
      <c r="EA208" s="581"/>
      <c r="EB208" s="581"/>
      <c r="EC208" s="581"/>
      <c r="ED208" s="581"/>
      <c r="EE208" s="581"/>
      <c r="EF208" s="581"/>
      <c r="EG208" s="581"/>
      <c r="EH208" s="581"/>
      <c r="EI208" s="581"/>
      <c r="EJ208" s="581"/>
    </row>
    <row r="209" spans="1:140" ht="18" thickTop="1">
      <c r="A209" s="666" t="s">
        <v>56</v>
      </c>
      <c r="B209" s="760"/>
      <c r="C209" s="760"/>
      <c r="D209" s="758"/>
      <c r="E209" s="849"/>
      <c r="F209" s="734"/>
      <c r="G209" s="580"/>
      <c r="H209" s="581"/>
      <c r="I209" s="581"/>
      <c r="J209" s="579"/>
      <c r="K209" s="575"/>
      <c r="L209" s="569"/>
      <c r="M209" s="569"/>
      <c r="N209" s="569"/>
      <c r="O209" s="569"/>
      <c r="AG209" s="578"/>
      <c r="AH209" s="578"/>
      <c r="AI209" s="578"/>
      <c r="AJ209" s="578"/>
      <c r="AK209" s="578"/>
      <c r="AL209" s="579"/>
      <c r="AM209" s="580"/>
      <c r="AN209" s="581"/>
      <c r="AO209" s="581"/>
      <c r="AP209" s="579"/>
      <c r="AQ209" s="582"/>
      <c r="AR209" s="581"/>
      <c r="AS209" s="581"/>
      <c r="AT209" s="581"/>
      <c r="AU209" s="581"/>
      <c r="AV209" s="581"/>
      <c r="AW209" s="581"/>
      <c r="AX209" s="581"/>
      <c r="AY209" s="581"/>
      <c r="AZ209" s="581"/>
      <c r="BA209" s="581"/>
      <c r="BB209" s="581"/>
      <c r="BC209" s="581"/>
      <c r="BD209" s="581"/>
      <c r="BE209" s="581"/>
      <c r="BF209" s="581"/>
      <c r="BG209" s="581"/>
      <c r="BH209" s="581"/>
      <c r="BI209" s="581"/>
      <c r="BJ209" s="581"/>
      <c r="BK209" s="581"/>
      <c r="BL209" s="581"/>
      <c r="BM209" s="581"/>
      <c r="BN209" s="581"/>
      <c r="BO209" s="581"/>
      <c r="BP209" s="581"/>
      <c r="BQ209" s="581"/>
      <c r="BR209" s="581"/>
      <c r="BS209" s="581"/>
      <c r="BT209" s="581"/>
      <c r="BU209" s="581"/>
      <c r="BV209" s="581"/>
      <c r="BW209" s="581"/>
      <c r="BX209" s="581"/>
      <c r="BY209" s="581"/>
      <c r="BZ209" s="581"/>
      <c r="CA209" s="581"/>
      <c r="CB209" s="581"/>
      <c r="CC209" s="581"/>
      <c r="CD209" s="581"/>
      <c r="CE209" s="581"/>
      <c r="CF209" s="581"/>
      <c r="CG209" s="581"/>
      <c r="CH209" s="581"/>
      <c r="CI209" s="581"/>
      <c r="CJ209" s="581"/>
      <c r="CK209" s="581"/>
      <c r="CL209" s="581"/>
      <c r="CM209" s="581"/>
      <c r="CN209" s="581"/>
      <c r="CO209" s="581"/>
      <c r="CP209" s="581"/>
      <c r="CQ209" s="581"/>
      <c r="CR209" s="581"/>
      <c r="CS209" s="581"/>
      <c r="CT209" s="581"/>
      <c r="CU209" s="581"/>
      <c r="CV209" s="581"/>
      <c r="CW209" s="581"/>
      <c r="CX209" s="581"/>
      <c r="CY209" s="581"/>
      <c r="CZ209" s="581"/>
      <c r="DA209" s="581"/>
      <c r="DB209" s="581"/>
      <c r="DC209" s="581"/>
      <c r="DD209" s="581"/>
      <c r="DE209" s="581"/>
      <c r="DF209" s="581"/>
      <c r="DG209" s="581"/>
      <c r="DH209" s="581"/>
      <c r="DI209" s="581"/>
      <c r="DJ209" s="581"/>
      <c r="DK209" s="581"/>
      <c r="DL209" s="581"/>
      <c r="DM209" s="581"/>
      <c r="DN209" s="581"/>
      <c r="DO209" s="581"/>
      <c r="DP209" s="581"/>
      <c r="DQ209" s="581"/>
      <c r="DR209" s="581"/>
      <c r="DS209" s="581"/>
      <c r="DT209" s="581"/>
      <c r="DU209" s="581"/>
      <c r="DV209" s="581"/>
      <c r="DW209" s="581"/>
      <c r="DX209" s="581"/>
      <c r="DY209" s="581"/>
      <c r="DZ209" s="581"/>
      <c r="EA209" s="581"/>
      <c r="EB209" s="581"/>
      <c r="EC209" s="581"/>
      <c r="ED209" s="581"/>
      <c r="EE209" s="581"/>
      <c r="EF209" s="581"/>
      <c r="EG209" s="581"/>
      <c r="EH209" s="581"/>
      <c r="EI209" s="581"/>
      <c r="EJ209" s="581"/>
    </row>
    <row r="210" spans="1:140" ht="15">
      <c r="A210" s="557" t="s">
        <v>930</v>
      </c>
      <c r="B210" s="758"/>
      <c r="C210" s="758"/>
      <c r="D210" s="758"/>
      <c r="E210" s="849"/>
      <c r="F210" s="734"/>
      <c r="G210" s="580"/>
      <c r="H210" s="581"/>
      <c r="I210" s="581"/>
      <c r="J210" s="579"/>
      <c r="K210" s="575"/>
      <c r="L210" s="569"/>
      <c r="M210" s="569"/>
      <c r="N210" s="569"/>
      <c r="O210" s="569"/>
      <c r="AG210" s="578"/>
      <c r="AH210" s="578"/>
      <c r="AI210" s="578"/>
      <c r="AJ210" s="578"/>
      <c r="AK210" s="578"/>
      <c r="AL210" s="579"/>
      <c r="AM210" s="580"/>
      <c r="AN210" s="581"/>
      <c r="AO210" s="581"/>
      <c r="AP210" s="579"/>
      <c r="AQ210" s="582"/>
      <c r="AR210" s="581"/>
      <c r="AS210" s="581"/>
      <c r="AT210" s="581"/>
      <c r="AU210" s="581"/>
      <c r="AV210" s="581"/>
      <c r="AW210" s="581"/>
      <c r="AX210" s="581"/>
      <c r="AY210" s="581"/>
      <c r="AZ210" s="581"/>
      <c r="BA210" s="581"/>
      <c r="BB210" s="581"/>
      <c r="BC210" s="581"/>
      <c r="BD210" s="581"/>
      <c r="BE210" s="581"/>
      <c r="BF210" s="581"/>
      <c r="BG210" s="581"/>
      <c r="BH210" s="581"/>
      <c r="BI210" s="581"/>
      <c r="BJ210" s="581"/>
      <c r="BK210" s="581"/>
      <c r="BL210" s="581"/>
      <c r="BM210" s="581"/>
      <c r="BN210" s="581"/>
      <c r="BO210" s="581"/>
      <c r="BP210" s="581"/>
      <c r="BQ210" s="581"/>
      <c r="BR210" s="581"/>
      <c r="BS210" s="581"/>
      <c r="BT210" s="581"/>
      <c r="BU210" s="581"/>
      <c r="BV210" s="581"/>
      <c r="BW210" s="581"/>
      <c r="BX210" s="581"/>
      <c r="BY210" s="581"/>
      <c r="BZ210" s="581"/>
      <c r="CA210" s="581"/>
      <c r="CB210" s="581"/>
      <c r="CC210" s="581"/>
      <c r="CD210" s="581"/>
      <c r="CE210" s="581"/>
      <c r="CF210" s="581"/>
      <c r="CG210" s="581"/>
      <c r="CH210" s="581"/>
      <c r="CI210" s="581"/>
      <c r="CJ210" s="581"/>
      <c r="CK210" s="581"/>
      <c r="CL210" s="581"/>
      <c r="CM210" s="581"/>
      <c r="CN210" s="581"/>
      <c r="CO210" s="581"/>
      <c r="CP210" s="581"/>
      <c r="CQ210" s="581"/>
      <c r="CR210" s="581"/>
      <c r="CS210" s="581"/>
      <c r="CT210" s="581"/>
      <c r="CU210" s="581"/>
      <c r="CV210" s="581"/>
      <c r="CW210" s="581"/>
      <c r="CX210" s="581"/>
      <c r="CY210" s="581"/>
      <c r="CZ210" s="581"/>
      <c r="DA210" s="581"/>
      <c r="DB210" s="581"/>
      <c r="DC210" s="581"/>
      <c r="DD210" s="581"/>
      <c r="DE210" s="581"/>
      <c r="DF210" s="581"/>
      <c r="DG210" s="581"/>
      <c r="DH210" s="581"/>
      <c r="DI210" s="581"/>
      <c r="DJ210" s="581"/>
      <c r="DK210" s="581"/>
      <c r="DL210" s="581"/>
      <c r="DM210" s="581"/>
      <c r="DN210" s="581"/>
      <c r="DO210" s="581"/>
      <c r="DP210" s="581"/>
      <c r="DQ210" s="581"/>
      <c r="DR210" s="581"/>
      <c r="DS210" s="581"/>
      <c r="DT210" s="581"/>
      <c r="DU210" s="581"/>
      <c r="DV210" s="581"/>
      <c r="DW210" s="581"/>
      <c r="DX210" s="581"/>
      <c r="DY210" s="581"/>
      <c r="DZ210" s="581"/>
      <c r="EA210" s="581"/>
      <c r="EB210" s="581"/>
      <c r="EC210" s="581"/>
      <c r="ED210" s="581"/>
      <c r="EE210" s="581"/>
      <c r="EF210" s="581"/>
      <c r="EG210" s="581"/>
      <c r="EH210" s="581"/>
      <c r="EI210" s="581"/>
      <c r="EJ210" s="581"/>
    </row>
    <row r="211" spans="1:140" ht="170.25">
      <c r="A211" s="801" t="s">
        <v>680</v>
      </c>
      <c r="B211" s="758" t="s">
        <v>780</v>
      </c>
      <c r="C211" s="808" t="s">
        <v>960</v>
      </c>
      <c r="D211" s="758">
        <v>3</v>
      </c>
      <c r="E211" s="849" t="s">
        <v>813</v>
      </c>
      <c r="F211" s="734">
        <v>879</v>
      </c>
      <c r="G211" s="602">
        <f>1898-799</f>
        <v>1099</v>
      </c>
      <c r="H211" s="603"/>
      <c r="I211" s="603"/>
      <c r="J211" s="601">
        <f aca="true" t="shared" si="38" ref="J211:J216">SUM(F211/K211)*G211</f>
        <v>161003.5</v>
      </c>
      <c r="K211" s="575">
        <v>6</v>
      </c>
      <c r="L211" s="688"/>
      <c r="M211" s="688"/>
      <c r="N211" s="688"/>
      <c r="O211" s="688"/>
      <c r="AG211" s="578"/>
      <c r="AH211" s="578"/>
      <c r="AI211" s="578"/>
      <c r="AJ211" s="578"/>
      <c r="AK211" s="578"/>
      <c r="AL211" s="579"/>
      <c r="AM211" s="580"/>
      <c r="AN211" s="581"/>
      <c r="AO211" s="581"/>
      <c r="AP211" s="579"/>
      <c r="AQ211" s="582"/>
      <c r="AR211" s="581"/>
      <c r="AS211" s="581"/>
      <c r="AT211" s="581"/>
      <c r="AU211" s="581"/>
      <c r="AV211" s="581"/>
      <c r="AW211" s="581"/>
      <c r="AX211" s="581"/>
      <c r="AY211" s="581"/>
      <c r="AZ211" s="581"/>
      <c r="BA211" s="581"/>
      <c r="BB211" s="581"/>
      <c r="BC211" s="581"/>
      <c r="BD211" s="581"/>
      <c r="BE211" s="581"/>
      <c r="BF211" s="581"/>
      <c r="BG211" s="581"/>
      <c r="BH211" s="581"/>
      <c r="BI211" s="581"/>
      <c r="BJ211" s="581"/>
      <c r="BK211" s="581"/>
      <c r="BL211" s="581"/>
      <c r="BM211" s="581"/>
      <c r="BN211" s="581"/>
      <c r="BO211" s="581"/>
      <c r="BP211" s="581"/>
      <c r="BQ211" s="581"/>
      <c r="BR211" s="581"/>
      <c r="BS211" s="581"/>
      <c r="BT211" s="581"/>
      <c r="BU211" s="581"/>
      <c r="BV211" s="581"/>
      <c r="BW211" s="581"/>
      <c r="BX211" s="581"/>
      <c r="BY211" s="581"/>
      <c r="BZ211" s="581"/>
      <c r="CA211" s="581"/>
      <c r="CB211" s="581"/>
      <c r="CC211" s="581"/>
      <c r="CD211" s="581"/>
      <c r="CE211" s="581"/>
      <c r="CF211" s="581"/>
      <c r="CG211" s="581"/>
      <c r="CH211" s="581"/>
      <c r="CI211" s="581"/>
      <c r="CJ211" s="581"/>
      <c r="CK211" s="581"/>
      <c r="CL211" s="581"/>
      <c r="CM211" s="581"/>
      <c r="CN211" s="581"/>
      <c r="CO211" s="581"/>
      <c r="CP211" s="581"/>
      <c r="CQ211" s="581"/>
      <c r="CR211" s="581"/>
      <c r="CS211" s="581"/>
      <c r="CT211" s="581"/>
      <c r="CU211" s="581"/>
      <c r="CV211" s="581"/>
      <c r="CW211" s="581"/>
      <c r="CX211" s="581"/>
      <c r="CY211" s="581"/>
      <c r="CZ211" s="581"/>
      <c r="DA211" s="581"/>
      <c r="DB211" s="581"/>
      <c r="DC211" s="581"/>
      <c r="DD211" s="581"/>
      <c r="DE211" s="581"/>
      <c r="DF211" s="581"/>
      <c r="DG211" s="581"/>
      <c r="DH211" s="581"/>
      <c r="DI211" s="581"/>
      <c r="DJ211" s="581"/>
      <c r="DK211" s="581"/>
      <c r="DL211" s="581"/>
      <c r="DM211" s="581"/>
      <c r="DN211" s="581"/>
      <c r="DO211" s="581"/>
      <c r="DP211" s="581"/>
      <c r="DQ211" s="581"/>
      <c r="DR211" s="581"/>
      <c r="DS211" s="581"/>
      <c r="DT211" s="581"/>
      <c r="DU211" s="581"/>
      <c r="DV211" s="581"/>
      <c r="DW211" s="581"/>
      <c r="DX211" s="581"/>
      <c r="DY211" s="581"/>
      <c r="DZ211" s="581"/>
      <c r="EA211" s="581"/>
      <c r="EB211" s="581"/>
      <c r="EC211" s="581"/>
      <c r="ED211" s="581"/>
      <c r="EE211" s="581"/>
      <c r="EF211" s="581"/>
      <c r="EG211" s="581"/>
      <c r="EH211" s="581"/>
      <c r="EI211" s="581"/>
      <c r="EJ211" s="581"/>
    </row>
    <row r="212" spans="1:140" ht="108">
      <c r="A212" s="801" t="s">
        <v>681</v>
      </c>
      <c r="B212" s="758" t="s">
        <v>746</v>
      </c>
      <c r="C212" s="808" t="s">
        <v>782</v>
      </c>
      <c r="D212" s="758">
        <v>1</v>
      </c>
      <c r="E212" s="849" t="s">
        <v>783</v>
      </c>
      <c r="F212" s="734">
        <f>Hardware!B38</f>
        <v>386.565</v>
      </c>
      <c r="G212" s="602">
        <f>SUM(624-G62)</f>
        <v>450</v>
      </c>
      <c r="H212" s="603"/>
      <c r="I212" s="603"/>
      <c r="J212" s="601">
        <f t="shared" si="38"/>
        <v>28992.374999999996</v>
      </c>
      <c r="K212" s="575">
        <v>6</v>
      </c>
      <c r="L212" s="569"/>
      <c r="M212" s="569"/>
      <c r="N212" s="569"/>
      <c r="O212" s="569"/>
      <c r="AG212" s="578"/>
      <c r="AH212" s="578"/>
      <c r="AI212" s="578"/>
      <c r="AJ212" s="578"/>
      <c r="AK212" s="578"/>
      <c r="AL212" s="579"/>
      <c r="AM212" s="580"/>
      <c r="AN212" s="581"/>
      <c r="AO212" s="581"/>
      <c r="AP212" s="579"/>
      <c r="AQ212" s="582"/>
      <c r="AR212" s="581"/>
      <c r="AS212" s="581"/>
      <c r="AT212" s="581"/>
      <c r="AU212" s="581"/>
      <c r="AV212" s="581"/>
      <c r="AW212" s="581"/>
      <c r="AX212" s="581"/>
      <c r="AY212" s="581"/>
      <c r="AZ212" s="581"/>
      <c r="BA212" s="581"/>
      <c r="BB212" s="581"/>
      <c r="BC212" s="581"/>
      <c r="BD212" s="581"/>
      <c r="BE212" s="581"/>
      <c r="BF212" s="581"/>
      <c r="BG212" s="581"/>
      <c r="BH212" s="581"/>
      <c r="BI212" s="581"/>
      <c r="BJ212" s="581"/>
      <c r="BK212" s="581"/>
      <c r="BL212" s="581"/>
      <c r="BM212" s="581"/>
      <c r="BN212" s="581"/>
      <c r="BO212" s="581"/>
      <c r="BP212" s="581"/>
      <c r="BQ212" s="581"/>
      <c r="BR212" s="581"/>
      <c r="BS212" s="581"/>
      <c r="BT212" s="581"/>
      <c r="BU212" s="581"/>
      <c r="BV212" s="581"/>
      <c r="BW212" s="581"/>
      <c r="BX212" s="581"/>
      <c r="BY212" s="581"/>
      <c r="BZ212" s="581"/>
      <c r="CA212" s="581"/>
      <c r="CB212" s="581"/>
      <c r="CC212" s="581"/>
      <c r="CD212" s="581"/>
      <c r="CE212" s="581"/>
      <c r="CF212" s="581"/>
      <c r="CG212" s="581"/>
      <c r="CH212" s="581"/>
      <c r="CI212" s="581"/>
      <c r="CJ212" s="581"/>
      <c r="CK212" s="581"/>
      <c r="CL212" s="581"/>
      <c r="CM212" s="581"/>
      <c r="CN212" s="581"/>
      <c r="CO212" s="581"/>
      <c r="CP212" s="581"/>
      <c r="CQ212" s="581"/>
      <c r="CR212" s="581"/>
      <c r="CS212" s="581"/>
      <c r="CT212" s="581"/>
      <c r="CU212" s="581"/>
      <c r="CV212" s="581"/>
      <c r="CW212" s="581"/>
      <c r="CX212" s="581"/>
      <c r="CY212" s="581"/>
      <c r="CZ212" s="581"/>
      <c r="DA212" s="581"/>
      <c r="DB212" s="581"/>
      <c r="DC212" s="581"/>
      <c r="DD212" s="581"/>
      <c r="DE212" s="581"/>
      <c r="DF212" s="581"/>
      <c r="DG212" s="581"/>
      <c r="DH212" s="581"/>
      <c r="DI212" s="581"/>
      <c r="DJ212" s="581"/>
      <c r="DK212" s="581"/>
      <c r="DL212" s="581"/>
      <c r="DM212" s="581"/>
      <c r="DN212" s="581"/>
      <c r="DO212" s="581"/>
      <c r="DP212" s="581"/>
      <c r="DQ212" s="581"/>
      <c r="DR212" s="581"/>
      <c r="DS212" s="581"/>
      <c r="DT212" s="581"/>
      <c r="DU212" s="581"/>
      <c r="DV212" s="581"/>
      <c r="DW212" s="581"/>
      <c r="DX212" s="581"/>
      <c r="DY212" s="581"/>
      <c r="DZ212" s="581"/>
      <c r="EA212" s="581"/>
      <c r="EB212" s="581"/>
      <c r="EC212" s="581"/>
      <c r="ED212" s="581"/>
      <c r="EE212" s="581"/>
      <c r="EF212" s="581"/>
      <c r="EG212" s="581"/>
      <c r="EH212" s="581"/>
      <c r="EI212" s="581"/>
      <c r="EJ212" s="581"/>
    </row>
    <row r="213" spans="1:140" ht="61.5">
      <c r="A213" s="810" t="s">
        <v>787</v>
      </c>
      <c r="B213" s="758" t="s">
        <v>785</v>
      </c>
      <c r="C213" s="808" t="s">
        <v>786</v>
      </c>
      <c r="D213" s="758">
        <v>1</v>
      </c>
      <c r="E213" s="849" t="s">
        <v>817</v>
      </c>
      <c r="F213" s="734">
        <v>2402</v>
      </c>
      <c r="G213" s="602">
        <f>274-175</f>
        <v>99</v>
      </c>
      <c r="H213" s="603"/>
      <c r="I213" s="603"/>
      <c r="J213" s="601">
        <f t="shared" si="38"/>
        <v>39633</v>
      </c>
      <c r="K213" s="575">
        <v>6</v>
      </c>
      <c r="L213" s="569"/>
      <c r="M213" s="569"/>
      <c r="N213" s="569"/>
      <c r="O213" s="569"/>
      <c r="AG213" s="578"/>
      <c r="AH213" s="578"/>
      <c r="AI213" s="578"/>
      <c r="AJ213" s="578"/>
      <c r="AK213" s="578"/>
      <c r="AL213" s="579"/>
      <c r="AM213" s="580"/>
      <c r="AN213" s="581"/>
      <c r="AO213" s="581"/>
      <c r="AP213" s="579"/>
      <c r="AQ213" s="582"/>
      <c r="AR213" s="581"/>
      <c r="AS213" s="581"/>
      <c r="AT213" s="581"/>
      <c r="AU213" s="581"/>
      <c r="AV213" s="581"/>
      <c r="AW213" s="581"/>
      <c r="AX213" s="581"/>
      <c r="AY213" s="581"/>
      <c r="AZ213" s="581"/>
      <c r="BA213" s="581"/>
      <c r="BB213" s="581"/>
      <c r="BC213" s="581"/>
      <c r="BD213" s="581"/>
      <c r="BE213" s="581"/>
      <c r="BF213" s="581"/>
      <c r="BG213" s="581"/>
      <c r="BH213" s="581"/>
      <c r="BI213" s="581"/>
      <c r="BJ213" s="581"/>
      <c r="BK213" s="581"/>
      <c r="BL213" s="581"/>
      <c r="BM213" s="581"/>
      <c r="BN213" s="581"/>
      <c r="BO213" s="581"/>
      <c r="BP213" s="581"/>
      <c r="BQ213" s="581"/>
      <c r="BR213" s="581"/>
      <c r="BS213" s="581"/>
      <c r="BT213" s="581"/>
      <c r="BU213" s="581"/>
      <c r="BV213" s="581"/>
      <c r="BW213" s="581"/>
      <c r="BX213" s="581"/>
      <c r="BY213" s="581"/>
      <c r="BZ213" s="581"/>
      <c r="CA213" s="581"/>
      <c r="CB213" s="581"/>
      <c r="CC213" s="581"/>
      <c r="CD213" s="581"/>
      <c r="CE213" s="581"/>
      <c r="CF213" s="581"/>
      <c r="CG213" s="581"/>
      <c r="CH213" s="581"/>
      <c r="CI213" s="581"/>
      <c r="CJ213" s="581"/>
      <c r="CK213" s="581"/>
      <c r="CL213" s="581"/>
      <c r="CM213" s="581"/>
      <c r="CN213" s="581"/>
      <c r="CO213" s="581"/>
      <c r="CP213" s="581"/>
      <c r="CQ213" s="581"/>
      <c r="CR213" s="581"/>
      <c r="CS213" s="581"/>
      <c r="CT213" s="581"/>
      <c r="CU213" s="581"/>
      <c r="CV213" s="581"/>
      <c r="CW213" s="581"/>
      <c r="CX213" s="581"/>
      <c r="CY213" s="581"/>
      <c r="CZ213" s="581"/>
      <c r="DA213" s="581"/>
      <c r="DB213" s="581"/>
      <c r="DC213" s="581"/>
      <c r="DD213" s="581"/>
      <c r="DE213" s="581"/>
      <c r="DF213" s="581"/>
      <c r="DG213" s="581"/>
      <c r="DH213" s="581"/>
      <c r="DI213" s="581"/>
      <c r="DJ213" s="581"/>
      <c r="DK213" s="581"/>
      <c r="DL213" s="581"/>
      <c r="DM213" s="581"/>
      <c r="DN213" s="581"/>
      <c r="DO213" s="581"/>
      <c r="DP213" s="581"/>
      <c r="DQ213" s="581"/>
      <c r="DR213" s="581"/>
      <c r="DS213" s="581"/>
      <c r="DT213" s="581"/>
      <c r="DU213" s="581"/>
      <c r="DV213" s="581"/>
      <c r="DW213" s="581"/>
      <c r="DX213" s="581"/>
      <c r="DY213" s="581"/>
      <c r="DZ213" s="581"/>
      <c r="EA213" s="581"/>
      <c r="EB213" s="581"/>
      <c r="EC213" s="581"/>
      <c r="ED213" s="581"/>
      <c r="EE213" s="581"/>
      <c r="EF213" s="581"/>
      <c r="EG213" s="581"/>
      <c r="EH213" s="581"/>
      <c r="EI213" s="581"/>
      <c r="EJ213" s="581"/>
    </row>
    <row r="214" spans="1:140" ht="61.5">
      <c r="A214" s="801" t="s">
        <v>394</v>
      </c>
      <c r="B214" s="758" t="s">
        <v>747</v>
      </c>
      <c r="C214" s="808" t="s">
        <v>786</v>
      </c>
      <c r="D214" s="758">
        <v>1</v>
      </c>
      <c r="E214" s="849" t="s">
        <v>352</v>
      </c>
      <c r="F214" s="734">
        <v>2402</v>
      </c>
      <c r="G214" s="602">
        <v>175</v>
      </c>
      <c r="H214" s="603"/>
      <c r="I214" s="603"/>
      <c r="J214" s="601">
        <f t="shared" si="38"/>
        <v>70058.33333333333</v>
      </c>
      <c r="K214" s="575">
        <v>6</v>
      </c>
      <c r="L214" s="569"/>
      <c r="M214" s="569"/>
      <c r="N214" s="569"/>
      <c r="O214" s="569"/>
      <c r="AG214" s="578"/>
      <c r="AH214" s="578"/>
      <c r="AI214" s="578"/>
      <c r="AJ214" s="578"/>
      <c r="AK214" s="578"/>
      <c r="AL214" s="579"/>
      <c r="AM214" s="580"/>
      <c r="AN214" s="581"/>
      <c r="AO214" s="581"/>
      <c r="AP214" s="579"/>
      <c r="AQ214" s="582"/>
      <c r="AR214" s="581"/>
      <c r="AS214" s="581"/>
      <c r="AT214" s="581"/>
      <c r="AU214" s="581"/>
      <c r="AV214" s="581"/>
      <c r="AW214" s="581"/>
      <c r="AX214" s="581"/>
      <c r="AY214" s="581"/>
      <c r="AZ214" s="581"/>
      <c r="BA214" s="581"/>
      <c r="BB214" s="581"/>
      <c r="BC214" s="581"/>
      <c r="BD214" s="581"/>
      <c r="BE214" s="581"/>
      <c r="BF214" s="581"/>
      <c r="BG214" s="581"/>
      <c r="BH214" s="581"/>
      <c r="BI214" s="581"/>
      <c r="BJ214" s="581"/>
      <c r="BK214" s="581"/>
      <c r="BL214" s="581"/>
      <c r="BM214" s="581"/>
      <c r="BN214" s="581"/>
      <c r="BO214" s="581"/>
      <c r="BP214" s="581"/>
      <c r="BQ214" s="581"/>
      <c r="BR214" s="581"/>
      <c r="BS214" s="581"/>
      <c r="BT214" s="581"/>
      <c r="BU214" s="581"/>
      <c r="BV214" s="581"/>
      <c r="BW214" s="581"/>
      <c r="BX214" s="581"/>
      <c r="BY214" s="581"/>
      <c r="BZ214" s="581"/>
      <c r="CA214" s="581"/>
      <c r="CB214" s="581"/>
      <c r="CC214" s="581"/>
      <c r="CD214" s="581"/>
      <c r="CE214" s="581"/>
      <c r="CF214" s="581"/>
      <c r="CG214" s="581"/>
      <c r="CH214" s="581"/>
      <c r="CI214" s="581"/>
      <c r="CJ214" s="581"/>
      <c r="CK214" s="581"/>
      <c r="CL214" s="581"/>
      <c r="CM214" s="581"/>
      <c r="CN214" s="581"/>
      <c r="CO214" s="581"/>
      <c r="CP214" s="581"/>
      <c r="CQ214" s="581"/>
      <c r="CR214" s="581"/>
      <c r="CS214" s="581"/>
      <c r="CT214" s="581"/>
      <c r="CU214" s="581"/>
      <c r="CV214" s="581"/>
      <c r="CW214" s="581"/>
      <c r="CX214" s="581"/>
      <c r="CY214" s="581"/>
      <c r="CZ214" s="581"/>
      <c r="DA214" s="581"/>
      <c r="DB214" s="581"/>
      <c r="DC214" s="581"/>
      <c r="DD214" s="581"/>
      <c r="DE214" s="581"/>
      <c r="DF214" s="581"/>
      <c r="DG214" s="581"/>
      <c r="DH214" s="581"/>
      <c r="DI214" s="581"/>
      <c r="DJ214" s="581"/>
      <c r="DK214" s="581"/>
      <c r="DL214" s="581"/>
      <c r="DM214" s="581"/>
      <c r="DN214" s="581"/>
      <c r="DO214" s="581"/>
      <c r="DP214" s="581"/>
      <c r="DQ214" s="581"/>
      <c r="DR214" s="581"/>
      <c r="DS214" s="581"/>
      <c r="DT214" s="581"/>
      <c r="DU214" s="581"/>
      <c r="DV214" s="581"/>
      <c r="DW214" s="581"/>
      <c r="DX214" s="581"/>
      <c r="DY214" s="581"/>
      <c r="DZ214" s="581"/>
      <c r="EA214" s="581"/>
      <c r="EB214" s="581"/>
      <c r="EC214" s="581"/>
      <c r="ED214" s="581"/>
      <c r="EE214" s="581"/>
      <c r="EF214" s="581"/>
      <c r="EG214" s="581"/>
      <c r="EH214" s="581"/>
      <c r="EI214" s="581"/>
      <c r="EJ214" s="581"/>
    </row>
    <row r="215" spans="1:140" ht="69.75">
      <c r="A215" s="801" t="s">
        <v>872</v>
      </c>
      <c r="B215" s="760" t="s">
        <v>814</v>
      </c>
      <c r="C215" s="759" t="s">
        <v>786</v>
      </c>
      <c r="D215" s="809" t="s">
        <v>815</v>
      </c>
      <c r="E215" s="851" t="s">
        <v>729</v>
      </c>
      <c r="F215" s="734">
        <v>2402</v>
      </c>
      <c r="G215" s="602">
        <v>185</v>
      </c>
      <c r="H215" s="603"/>
      <c r="I215" s="603"/>
      <c r="J215" s="601">
        <f t="shared" si="38"/>
        <v>74061.66666666666</v>
      </c>
      <c r="K215" s="575">
        <v>6</v>
      </c>
      <c r="L215" s="569"/>
      <c r="M215" s="569"/>
      <c r="N215" s="569"/>
      <c r="O215" s="569"/>
      <c r="AG215" s="578"/>
      <c r="AH215" s="578"/>
      <c r="AI215" s="578"/>
      <c r="AJ215" s="578"/>
      <c r="AK215" s="578"/>
      <c r="AL215" s="579"/>
      <c r="AM215" s="580"/>
      <c r="AN215" s="581"/>
      <c r="AO215" s="581"/>
      <c r="AP215" s="579"/>
      <c r="AQ215" s="582"/>
      <c r="AR215" s="581"/>
      <c r="AS215" s="581"/>
      <c r="AT215" s="581"/>
      <c r="AU215" s="581"/>
      <c r="AV215" s="581"/>
      <c r="AW215" s="581"/>
      <c r="AX215" s="581"/>
      <c r="AY215" s="581"/>
      <c r="AZ215" s="581"/>
      <c r="BA215" s="581"/>
      <c r="BB215" s="581"/>
      <c r="BC215" s="581"/>
      <c r="BD215" s="581"/>
      <c r="BE215" s="581"/>
      <c r="BF215" s="581"/>
      <c r="BG215" s="581"/>
      <c r="BH215" s="581"/>
      <c r="BI215" s="581"/>
      <c r="BJ215" s="581"/>
      <c r="BK215" s="581"/>
      <c r="BL215" s="581"/>
      <c r="BM215" s="581"/>
      <c r="BN215" s="581"/>
      <c r="BO215" s="581"/>
      <c r="BP215" s="581"/>
      <c r="BQ215" s="581"/>
      <c r="BR215" s="581"/>
      <c r="BS215" s="581"/>
      <c r="BT215" s="581"/>
      <c r="BU215" s="581"/>
      <c r="BV215" s="581"/>
      <c r="BW215" s="581"/>
      <c r="BX215" s="581"/>
      <c r="BY215" s="581"/>
      <c r="BZ215" s="581"/>
      <c r="CA215" s="581"/>
      <c r="CB215" s="581"/>
      <c r="CC215" s="581"/>
      <c r="CD215" s="581"/>
      <c r="CE215" s="581"/>
      <c r="CF215" s="581"/>
      <c r="CG215" s="581"/>
      <c r="CH215" s="581"/>
      <c r="CI215" s="581"/>
      <c r="CJ215" s="581"/>
      <c r="CK215" s="581"/>
      <c r="CL215" s="581"/>
      <c r="CM215" s="581"/>
      <c r="CN215" s="581"/>
      <c r="CO215" s="581"/>
      <c r="CP215" s="581"/>
      <c r="CQ215" s="581"/>
      <c r="CR215" s="581"/>
      <c r="CS215" s="581"/>
      <c r="CT215" s="581"/>
      <c r="CU215" s="581"/>
      <c r="CV215" s="581"/>
      <c r="CW215" s="581"/>
      <c r="CX215" s="581"/>
      <c r="CY215" s="581"/>
      <c r="CZ215" s="581"/>
      <c r="DA215" s="581"/>
      <c r="DB215" s="581"/>
      <c r="DC215" s="581"/>
      <c r="DD215" s="581"/>
      <c r="DE215" s="581"/>
      <c r="DF215" s="581"/>
      <c r="DG215" s="581"/>
      <c r="DH215" s="581"/>
      <c r="DI215" s="581"/>
      <c r="DJ215" s="581"/>
      <c r="DK215" s="581"/>
      <c r="DL215" s="581"/>
      <c r="DM215" s="581"/>
      <c r="DN215" s="581"/>
      <c r="DO215" s="581"/>
      <c r="DP215" s="581"/>
      <c r="DQ215" s="581"/>
      <c r="DR215" s="581"/>
      <c r="DS215" s="581"/>
      <c r="DT215" s="581"/>
      <c r="DU215" s="581"/>
      <c r="DV215" s="581"/>
      <c r="DW215" s="581"/>
      <c r="DX215" s="581"/>
      <c r="DY215" s="581"/>
      <c r="DZ215" s="581"/>
      <c r="EA215" s="581"/>
      <c r="EB215" s="581"/>
      <c r="EC215" s="581"/>
      <c r="ED215" s="581"/>
      <c r="EE215" s="581"/>
      <c r="EF215" s="581"/>
      <c r="EG215" s="581"/>
      <c r="EH215" s="581"/>
      <c r="EI215" s="581"/>
      <c r="EJ215" s="581"/>
    </row>
    <row r="216" spans="1:140" ht="46.5">
      <c r="A216" s="801" t="s">
        <v>737</v>
      </c>
      <c r="B216" s="758" t="s">
        <v>816</v>
      </c>
      <c r="C216" s="808" t="s">
        <v>786</v>
      </c>
      <c r="D216" s="758">
        <v>2</v>
      </c>
      <c r="E216" s="849" t="s">
        <v>352</v>
      </c>
      <c r="F216" s="734">
        <v>2402</v>
      </c>
      <c r="G216" s="602">
        <v>350</v>
      </c>
      <c r="H216" s="603"/>
      <c r="I216" s="603"/>
      <c r="J216" s="601">
        <f t="shared" si="38"/>
        <v>140116.66666666666</v>
      </c>
      <c r="K216" s="575">
        <v>6</v>
      </c>
      <c r="L216" s="569"/>
      <c r="M216" s="569"/>
      <c r="N216" s="569"/>
      <c r="O216" s="569"/>
      <c r="AG216" s="578"/>
      <c r="AH216" s="578"/>
      <c r="AI216" s="578"/>
      <c r="AJ216" s="578"/>
      <c r="AK216" s="578"/>
      <c r="AL216" s="579"/>
      <c r="AM216" s="580"/>
      <c r="AN216" s="581"/>
      <c r="AO216" s="581"/>
      <c r="AP216" s="579"/>
      <c r="AQ216" s="582"/>
      <c r="AR216" s="581"/>
      <c r="AS216" s="581"/>
      <c r="AT216" s="581"/>
      <c r="AU216" s="581"/>
      <c r="AV216" s="581"/>
      <c r="AW216" s="581"/>
      <c r="AX216" s="581"/>
      <c r="AY216" s="581"/>
      <c r="AZ216" s="581"/>
      <c r="BA216" s="581"/>
      <c r="BB216" s="581"/>
      <c r="BC216" s="581"/>
      <c r="BD216" s="581"/>
      <c r="BE216" s="581"/>
      <c r="BF216" s="581"/>
      <c r="BG216" s="581"/>
      <c r="BH216" s="581"/>
      <c r="BI216" s="581"/>
      <c r="BJ216" s="581"/>
      <c r="BK216" s="581"/>
      <c r="BL216" s="581"/>
      <c r="BM216" s="581"/>
      <c r="BN216" s="581"/>
      <c r="BO216" s="581"/>
      <c r="BP216" s="581"/>
      <c r="BQ216" s="581"/>
      <c r="BR216" s="581"/>
      <c r="BS216" s="581"/>
      <c r="BT216" s="581"/>
      <c r="BU216" s="581"/>
      <c r="BV216" s="581"/>
      <c r="BW216" s="581"/>
      <c r="BX216" s="581"/>
      <c r="BY216" s="581"/>
      <c r="BZ216" s="581"/>
      <c r="CA216" s="581"/>
      <c r="CB216" s="581"/>
      <c r="CC216" s="581"/>
      <c r="CD216" s="581"/>
      <c r="CE216" s="581"/>
      <c r="CF216" s="581"/>
      <c r="CG216" s="581"/>
      <c r="CH216" s="581"/>
      <c r="CI216" s="581"/>
      <c r="CJ216" s="581"/>
      <c r="CK216" s="581"/>
      <c r="CL216" s="581"/>
      <c r="CM216" s="581"/>
      <c r="CN216" s="581"/>
      <c r="CO216" s="581"/>
      <c r="CP216" s="581"/>
      <c r="CQ216" s="581"/>
      <c r="CR216" s="581"/>
      <c r="CS216" s="581"/>
      <c r="CT216" s="581"/>
      <c r="CU216" s="581"/>
      <c r="CV216" s="581"/>
      <c r="CW216" s="581"/>
      <c r="CX216" s="581"/>
      <c r="CY216" s="581"/>
      <c r="CZ216" s="581"/>
      <c r="DA216" s="581"/>
      <c r="DB216" s="581"/>
      <c r="DC216" s="581"/>
      <c r="DD216" s="581"/>
      <c r="DE216" s="581"/>
      <c r="DF216" s="581"/>
      <c r="DG216" s="581"/>
      <c r="DH216" s="581"/>
      <c r="DI216" s="581"/>
      <c r="DJ216" s="581"/>
      <c r="DK216" s="581"/>
      <c r="DL216" s="581"/>
      <c r="DM216" s="581"/>
      <c r="DN216" s="581"/>
      <c r="DO216" s="581"/>
      <c r="DP216" s="581"/>
      <c r="DQ216" s="581"/>
      <c r="DR216" s="581"/>
      <c r="DS216" s="581"/>
      <c r="DT216" s="581"/>
      <c r="DU216" s="581"/>
      <c r="DV216" s="581"/>
      <c r="DW216" s="581"/>
      <c r="DX216" s="581"/>
      <c r="DY216" s="581"/>
      <c r="DZ216" s="581"/>
      <c r="EA216" s="581"/>
      <c r="EB216" s="581"/>
      <c r="EC216" s="581"/>
      <c r="ED216" s="581"/>
      <c r="EE216" s="581"/>
      <c r="EF216" s="581"/>
      <c r="EG216" s="581"/>
      <c r="EH216" s="581"/>
      <c r="EI216" s="581"/>
      <c r="EJ216" s="581"/>
    </row>
    <row r="217" spans="1:140" ht="46.5">
      <c r="A217" s="801" t="s">
        <v>873</v>
      </c>
      <c r="B217" s="758"/>
      <c r="C217" s="758"/>
      <c r="D217" s="758"/>
      <c r="E217" s="849"/>
      <c r="F217" s="734"/>
      <c r="G217" s="602"/>
      <c r="H217" s="603"/>
      <c r="I217" s="603"/>
      <c r="J217" s="601"/>
      <c r="K217" s="575"/>
      <c r="L217" s="569"/>
      <c r="M217" s="569"/>
      <c r="N217" s="569"/>
      <c r="O217" s="569"/>
      <c r="AG217" s="578"/>
      <c r="AH217" s="578"/>
      <c r="AI217" s="578"/>
      <c r="AJ217" s="578"/>
      <c r="AK217" s="578"/>
      <c r="AL217" s="579"/>
      <c r="AM217" s="580"/>
      <c r="AN217" s="581"/>
      <c r="AO217" s="581"/>
      <c r="AP217" s="579"/>
      <c r="AQ217" s="582"/>
      <c r="AR217" s="581"/>
      <c r="AS217" s="581"/>
      <c r="AT217" s="581"/>
      <c r="AU217" s="581"/>
      <c r="AV217" s="581"/>
      <c r="AW217" s="581"/>
      <c r="AX217" s="581"/>
      <c r="AY217" s="581"/>
      <c r="AZ217" s="581"/>
      <c r="BA217" s="581"/>
      <c r="BB217" s="581"/>
      <c r="BC217" s="581"/>
      <c r="BD217" s="581"/>
      <c r="BE217" s="581"/>
      <c r="BF217" s="581"/>
      <c r="BG217" s="581"/>
      <c r="BH217" s="581"/>
      <c r="BI217" s="581"/>
      <c r="BJ217" s="581"/>
      <c r="BK217" s="581"/>
      <c r="BL217" s="581"/>
      <c r="BM217" s="581"/>
      <c r="BN217" s="581"/>
      <c r="BO217" s="581"/>
      <c r="BP217" s="581"/>
      <c r="BQ217" s="581"/>
      <c r="BR217" s="581"/>
      <c r="BS217" s="581"/>
      <c r="BT217" s="581"/>
      <c r="BU217" s="581"/>
      <c r="BV217" s="581"/>
      <c r="BW217" s="581"/>
      <c r="BX217" s="581"/>
      <c r="BY217" s="581"/>
      <c r="BZ217" s="581"/>
      <c r="CA217" s="581"/>
      <c r="CB217" s="581"/>
      <c r="CC217" s="581"/>
      <c r="CD217" s="581"/>
      <c r="CE217" s="581"/>
      <c r="CF217" s="581"/>
      <c r="CG217" s="581"/>
      <c r="CH217" s="581"/>
      <c r="CI217" s="581"/>
      <c r="CJ217" s="581"/>
      <c r="CK217" s="581"/>
      <c r="CL217" s="581"/>
      <c r="CM217" s="581"/>
      <c r="CN217" s="581"/>
      <c r="CO217" s="581"/>
      <c r="CP217" s="581"/>
      <c r="CQ217" s="581"/>
      <c r="CR217" s="581"/>
      <c r="CS217" s="581"/>
      <c r="CT217" s="581"/>
      <c r="CU217" s="581"/>
      <c r="CV217" s="581"/>
      <c r="CW217" s="581"/>
      <c r="CX217" s="581"/>
      <c r="CY217" s="581"/>
      <c r="CZ217" s="581"/>
      <c r="DA217" s="581"/>
      <c r="DB217" s="581"/>
      <c r="DC217" s="581"/>
      <c r="DD217" s="581"/>
      <c r="DE217" s="581"/>
      <c r="DF217" s="581"/>
      <c r="DG217" s="581"/>
      <c r="DH217" s="581"/>
      <c r="DI217" s="581"/>
      <c r="DJ217" s="581"/>
      <c r="DK217" s="581"/>
      <c r="DL217" s="581"/>
      <c r="DM217" s="581"/>
      <c r="DN217" s="581"/>
      <c r="DO217" s="581"/>
      <c r="DP217" s="581"/>
      <c r="DQ217" s="581"/>
      <c r="DR217" s="581"/>
      <c r="DS217" s="581"/>
      <c r="DT217" s="581"/>
      <c r="DU217" s="581"/>
      <c r="DV217" s="581"/>
      <c r="DW217" s="581"/>
      <c r="DX217" s="581"/>
      <c r="DY217" s="581"/>
      <c r="DZ217" s="581"/>
      <c r="EA217" s="581"/>
      <c r="EB217" s="581"/>
      <c r="EC217" s="581"/>
      <c r="ED217" s="581"/>
      <c r="EE217" s="581"/>
      <c r="EF217" s="581"/>
      <c r="EG217" s="581"/>
      <c r="EH217" s="581"/>
      <c r="EI217" s="581"/>
      <c r="EJ217" s="581"/>
    </row>
    <row r="218" spans="1:140" ht="46.5">
      <c r="A218" s="801" t="s">
        <v>874</v>
      </c>
      <c r="B218" s="758" t="s">
        <v>818</v>
      </c>
      <c r="C218" s="808" t="s">
        <v>786</v>
      </c>
      <c r="D218" s="758">
        <v>3</v>
      </c>
      <c r="E218" s="849" t="s">
        <v>352</v>
      </c>
      <c r="F218" s="734">
        <v>2402</v>
      </c>
      <c r="G218" s="602">
        <v>525</v>
      </c>
      <c r="H218" s="603"/>
      <c r="I218" s="603"/>
      <c r="J218" s="601">
        <f>SUM(F218/K218)*G218</f>
        <v>210175</v>
      </c>
      <c r="K218" s="575">
        <v>6</v>
      </c>
      <c r="L218" s="569"/>
      <c r="M218" s="569"/>
      <c r="N218" s="569"/>
      <c r="O218" s="569"/>
      <c r="AG218" s="578"/>
      <c r="AH218" s="578"/>
      <c r="AI218" s="578"/>
      <c r="AJ218" s="578"/>
      <c r="AK218" s="578"/>
      <c r="AL218" s="579"/>
      <c r="AM218" s="580"/>
      <c r="AN218" s="581"/>
      <c r="AO218" s="581"/>
      <c r="AP218" s="579"/>
      <c r="AQ218" s="582"/>
      <c r="AR218" s="581"/>
      <c r="AS218" s="581"/>
      <c r="AT218" s="581"/>
      <c r="AU218" s="581"/>
      <c r="AV218" s="581"/>
      <c r="AW218" s="581"/>
      <c r="AX218" s="581"/>
      <c r="AY218" s="581"/>
      <c r="AZ218" s="581"/>
      <c r="BA218" s="581"/>
      <c r="BB218" s="581"/>
      <c r="BC218" s="581"/>
      <c r="BD218" s="581"/>
      <c r="BE218" s="581"/>
      <c r="BF218" s="581"/>
      <c r="BG218" s="581"/>
      <c r="BH218" s="581"/>
      <c r="BI218" s="581"/>
      <c r="BJ218" s="581"/>
      <c r="BK218" s="581"/>
      <c r="BL218" s="581"/>
      <c r="BM218" s="581"/>
      <c r="BN218" s="581"/>
      <c r="BO218" s="581"/>
      <c r="BP218" s="581"/>
      <c r="BQ218" s="581"/>
      <c r="BR218" s="581"/>
      <c r="BS218" s="581"/>
      <c r="BT218" s="581"/>
      <c r="BU218" s="581"/>
      <c r="BV218" s="581"/>
      <c r="BW218" s="581"/>
      <c r="BX218" s="581"/>
      <c r="BY218" s="581"/>
      <c r="BZ218" s="581"/>
      <c r="CA218" s="581"/>
      <c r="CB218" s="581"/>
      <c r="CC218" s="581"/>
      <c r="CD218" s="581"/>
      <c r="CE218" s="581"/>
      <c r="CF218" s="581"/>
      <c r="CG218" s="581"/>
      <c r="CH218" s="581"/>
      <c r="CI218" s="581"/>
      <c r="CJ218" s="581"/>
      <c r="CK218" s="581"/>
      <c r="CL218" s="581"/>
      <c r="CM218" s="581"/>
      <c r="CN218" s="581"/>
      <c r="CO218" s="581"/>
      <c r="CP218" s="581"/>
      <c r="CQ218" s="581"/>
      <c r="CR218" s="581"/>
      <c r="CS218" s="581"/>
      <c r="CT218" s="581"/>
      <c r="CU218" s="581"/>
      <c r="CV218" s="581"/>
      <c r="CW218" s="581"/>
      <c r="CX218" s="581"/>
      <c r="CY218" s="581"/>
      <c r="CZ218" s="581"/>
      <c r="DA218" s="581"/>
      <c r="DB218" s="581"/>
      <c r="DC218" s="581"/>
      <c r="DD218" s="581"/>
      <c r="DE218" s="581"/>
      <c r="DF218" s="581"/>
      <c r="DG218" s="581"/>
      <c r="DH218" s="581"/>
      <c r="DI218" s="581"/>
      <c r="DJ218" s="581"/>
      <c r="DK218" s="581"/>
      <c r="DL218" s="581"/>
      <c r="DM218" s="581"/>
      <c r="DN218" s="581"/>
      <c r="DO218" s="581"/>
      <c r="DP218" s="581"/>
      <c r="DQ218" s="581"/>
      <c r="DR218" s="581"/>
      <c r="DS218" s="581"/>
      <c r="DT218" s="581"/>
      <c r="DU218" s="581"/>
      <c r="DV218" s="581"/>
      <c r="DW218" s="581"/>
      <c r="DX218" s="581"/>
      <c r="DY218" s="581"/>
      <c r="DZ218" s="581"/>
      <c r="EA218" s="581"/>
      <c r="EB218" s="581"/>
      <c r="EC218" s="581"/>
      <c r="ED218" s="581"/>
      <c r="EE218" s="581"/>
      <c r="EF218" s="581"/>
      <c r="EG218" s="581"/>
      <c r="EH218" s="581"/>
      <c r="EI218" s="581"/>
      <c r="EJ218" s="581"/>
    </row>
    <row r="219" spans="1:140" ht="15">
      <c r="A219" s="600"/>
      <c r="B219" s="760"/>
      <c r="C219" s="760"/>
      <c r="D219" s="758"/>
      <c r="E219" s="849"/>
      <c r="F219" s="734"/>
      <c r="G219" s="602"/>
      <c r="H219" s="603"/>
      <c r="I219" s="603"/>
      <c r="J219" s="601"/>
      <c r="K219" s="575"/>
      <c r="L219" s="569"/>
      <c r="M219" s="569"/>
      <c r="N219" s="569"/>
      <c r="O219" s="569"/>
      <c r="AG219" s="578"/>
      <c r="AH219" s="578"/>
      <c r="AI219" s="578"/>
      <c r="AJ219" s="578"/>
      <c r="AK219" s="578"/>
      <c r="AL219" s="579"/>
      <c r="AM219" s="580"/>
      <c r="AN219" s="581"/>
      <c r="AO219" s="581"/>
      <c r="AP219" s="579"/>
      <c r="AQ219" s="582"/>
      <c r="AR219" s="581"/>
      <c r="AS219" s="581"/>
      <c r="AT219" s="581"/>
      <c r="AU219" s="581"/>
      <c r="AV219" s="581"/>
      <c r="AW219" s="581"/>
      <c r="AX219" s="581"/>
      <c r="AY219" s="581"/>
      <c r="AZ219" s="581"/>
      <c r="BA219" s="581"/>
      <c r="BB219" s="581"/>
      <c r="BC219" s="581"/>
      <c r="BD219" s="581"/>
      <c r="BE219" s="581"/>
      <c r="BF219" s="581"/>
      <c r="BG219" s="581"/>
      <c r="BH219" s="581"/>
      <c r="BI219" s="581"/>
      <c r="BJ219" s="581"/>
      <c r="BK219" s="581"/>
      <c r="BL219" s="581"/>
      <c r="BM219" s="581"/>
      <c r="BN219" s="581"/>
      <c r="BO219" s="581"/>
      <c r="BP219" s="581"/>
      <c r="BQ219" s="581"/>
      <c r="BR219" s="581"/>
      <c r="BS219" s="581"/>
      <c r="BT219" s="581"/>
      <c r="BU219" s="581"/>
      <c r="BV219" s="581"/>
      <c r="BW219" s="581"/>
      <c r="BX219" s="581"/>
      <c r="BY219" s="581"/>
      <c r="BZ219" s="581"/>
      <c r="CA219" s="581"/>
      <c r="CB219" s="581"/>
      <c r="CC219" s="581"/>
      <c r="CD219" s="581"/>
      <c r="CE219" s="581"/>
      <c r="CF219" s="581"/>
      <c r="CG219" s="581"/>
      <c r="CH219" s="581"/>
      <c r="CI219" s="581"/>
      <c r="CJ219" s="581"/>
      <c r="CK219" s="581"/>
      <c r="CL219" s="581"/>
      <c r="CM219" s="581"/>
      <c r="CN219" s="581"/>
      <c r="CO219" s="581"/>
      <c r="CP219" s="581"/>
      <c r="CQ219" s="581"/>
      <c r="CR219" s="581"/>
      <c r="CS219" s="581"/>
      <c r="CT219" s="581"/>
      <c r="CU219" s="581"/>
      <c r="CV219" s="581"/>
      <c r="CW219" s="581"/>
      <c r="CX219" s="581"/>
      <c r="CY219" s="581"/>
      <c r="CZ219" s="581"/>
      <c r="DA219" s="581"/>
      <c r="DB219" s="581"/>
      <c r="DC219" s="581"/>
      <c r="DD219" s="581"/>
      <c r="DE219" s="581"/>
      <c r="DF219" s="581"/>
      <c r="DG219" s="581"/>
      <c r="DH219" s="581"/>
      <c r="DI219" s="581"/>
      <c r="DJ219" s="581"/>
      <c r="DK219" s="581"/>
      <c r="DL219" s="581"/>
      <c r="DM219" s="581"/>
      <c r="DN219" s="581"/>
      <c r="DO219" s="581"/>
      <c r="DP219" s="581"/>
      <c r="DQ219" s="581"/>
      <c r="DR219" s="581"/>
      <c r="DS219" s="581"/>
      <c r="DT219" s="581"/>
      <c r="DU219" s="581"/>
      <c r="DV219" s="581"/>
      <c r="DW219" s="581"/>
      <c r="DX219" s="581"/>
      <c r="DY219" s="581"/>
      <c r="DZ219" s="581"/>
      <c r="EA219" s="581"/>
      <c r="EB219" s="581"/>
      <c r="EC219" s="581"/>
      <c r="ED219" s="581"/>
      <c r="EE219" s="581"/>
      <c r="EF219" s="581"/>
      <c r="EG219" s="581"/>
      <c r="EH219" s="581"/>
      <c r="EI219" s="581"/>
      <c r="EJ219" s="581"/>
    </row>
    <row r="220" spans="1:140" ht="15">
      <c r="A220" s="557" t="s">
        <v>931</v>
      </c>
      <c r="B220" s="758"/>
      <c r="C220" s="758"/>
      <c r="D220" s="758"/>
      <c r="E220" s="849"/>
      <c r="F220" s="734"/>
      <c r="G220" s="816"/>
      <c r="H220" s="817"/>
      <c r="I220" s="817"/>
      <c r="J220" s="818"/>
      <c r="K220" s="575"/>
      <c r="L220" s="569"/>
      <c r="M220" s="569"/>
      <c r="N220" s="569"/>
      <c r="O220" s="569"/>
      <c r="AG220" s="578"/>
      <c r="AH220" s="578"/>
      <c r="AI220" s="578"/>
      <c r="AJ220" s="578"/>
      <c r="AK220" s="578"/>
      <c r="AL220" s="579"/>
      <c r="AM220" s="580"/>
      <c r="AN220" s="581"/>
      <c r="AO220" s="581"/>
      <c r="AP220" s="579"/>
      <c r="AQ220" s="582"/>
      <c r="AR220" s="581"/>
      <c r="AS220" s="581"/>
      <c r="AT220" s="581"/>
      <c r="AU220" s="581"/>
      <c r="AV220" s="581"/>
      <c r="AW220" s="581"/>
      <c r="AX220" s="581"/>
      <c r="AY220" s="581"/>
      <c r="AZ220" s="581"/>
      <c r="BA220" s="581"/>
      <c r="BB220" s="581"/>
      <c r="BC220" s="581"/>
      <c r="BD220" s="581"/>
      <c r="BE220" s="581"/>
      <c r="BF220" s="581"/>
      <c r="BG220" s="581"/>
      <c r="BH220" s="581"/>
      <c r="BI220" s="581"/>
      <c r="BJ220" s="581"/>
      <c r="BK220" s="581"/>
      <c r="BL220" s="581"/>
      <c r="BM220" s="581"/>
      <c r="BN220" s="581"/>
      <c r="BO220" s="581"/>
      <c r="BP220" s="581"/>
      <c r="BQ220" s="581"/>
      <c r="BR220" s="581"/>
      <c r="BS220" s="581"/>
      <c r="BT220" s="581"/>
      <c r="BU220" s="581"/>
      <c r="BV220" s="581"/>
      <c r="BW220" s="581"/>
      <c r="BX220" s="581"/>
      <c r="BY220" s="581"/>
      <c r="BZ220" s="581"/>
      <c r="CA220" s="581"/>
      <c r="CB220" s="581"/>
      <c r="CC220" s="581"/>
      <c r="CD220" s="581"/>
      <c r="CE220" s="581"/>
      <c r="CF220" s="581"/>
      <c r="CG220" s="581"/>
      <c r="CH220" s="581"/>
      <c r="CI220" s="581"/>
      <c r="CJ220" s="581"/>
      <c r="CK220" s="581"/>
      <c r="CL220" s="581"/>
      <c r="CM220" s="581"/>
      <c r="CN220" s="581"/>
      <c r="CO220" s="581"/>
      <c r="CP220" s="581"/>
      <c r="CQ220" s="581"/>
      <c r="CR220" s="581"/>
      <c r="CS220" s="581"/>
      <c r="CT220" s="581"/>
      <c r="CU220" s="581"/>
      <c r="CV220" s="581"/>
      <c r="CW220" s="581"/>
      <c r="CX220" s="581"/>
      <c r="CY220" s="581"/>
      <c r="CZ220" s="581"/>
      <c r="DA220" s="581"/>
      <c r="DB220" s="581"/>
      <c r="DC220" s="581"/>
      <c r="DD220" s="581"/>
      <c r="DE220" s="581"/>
      <c r="DF220" s="581"/>
      <c r="DG220" s="581"/>
      <c r="DH220" s="581"/>
      <c r="DI220" s="581"/>
      <c r="DJ220" s="581"/>
      <c r="DK220" s="581"/>
      <c r="DL220" s="581"/>
      <c r="DM220" s="581"/>
      <c r="DN220" s="581"/>
      <c r="DO220" s="581"/>
      <c r="DP220" s="581"/>
      <c r="DQ220" s="581"/>
      <c r="DR220" s="581"/>
      <c r="DS220" s="581"/>
      <c r="DT220" s="581"/>
      <c r="DU220" s="581"/>
      <c r="DV220" s="581"/>
      <c r="DW220" s="581"/>
      <c r="DX220" s="581"/>
      <c r="DY220" s="581"/>
      <c r="DZ220" s="581"/>
      <c r="EA220" s="581"/>
      <c r="EB220" s="581"/>
      <c r="EC220" s="581"/>
      <c r="ED220" s="581"/>
      <c r="EE220" s="581"/>
      <c r="EF220" s="581"/>
      <c r="EG220" s="581"/>
      <c r="EH220" s="581"/>
      <c r="EI220" s="581"/>
      <c r="EJ220" s="581"/>
    </row>
    <row r="221" spans="1:140" ht="93">
      <c r="A221" s="801" t="s">
        <v>730</v>
      </c>
      <c r="B221" s="758" t="s">
        <v>945</v>
      </c>
      <c r="C221" s="808" t="s">
        <v>807</v>
      </c>
      <c r="D221" s="758" t="s">
        <v>725</v>
      </c>
      <c r="E221" s="849"/>
      <c r="F221" s="734">
        <v>240</v>
      </c>
      <c r="G221" s="602">
        <f>SUM(4892-G77)</f>
        <v>3152</v>
      </c>
      <c r="H221" s="603"/>
      <c r="I221" s="603"/>
      <c r="J221" s="601">
        <f>SUM(F221/K221)*G221</f>
        <v>37824</v>
      </c>
      <c r="K221" s="575">
        <v>20</v>
      </c>
      <c r="L221" s="569"/>
      <c r="M221" s="569"/>
      <c r="N221" s="569"/>
      <c r="O221" s="569"/>
      <c r="AG221" s="578"/>
      <c r="AH221" s="578"/>
      <c r="AI221" s="578"/>
      <c r="AJ221" s="578"/>
      <c r="AK221" s="578"/>
      <c r="AL221" s="579"/>
      <c r="AM221" s="580"/>
      <c r="AN221" s="581"/>
      <c r="AO221" s="581"/>
      <c r="AP221" s="579"/>
      <c r="AQ221" s="582"/>
      <c r="AR221" s="581"/>
      <c r="AS221" s="581"/>
      <c r="AT221" s="581"/>
      <c r="AU221" s="581"/>
      <c r="AV221" s="581"/>
      <c r="AW221" s="581"/>
      <c r="AX221" s="581"/>
      <c r="AY221" s="581"/>
      <c r="AZ221" s="581"/>
      <c r="BA221" s="581"/>
      <c r="BB221" s="581"/>
      <c r="BC221" s="581"/>
      <c r="BD221" s="581"/>
      <c r="BE221" s="581"/>
      <c r="BF221" s="581"/>
      <c r="BG221" s="581"/>
      <c r="BH221" s="581"/>
      <c r="BI221" s="581"/>
      <c r="BJ221" s="581"/>
      <c r="BK221" s="581"/>
      <c r="BL221" s="581"/>
      <c r="BM221" s="581"/>
      <c r="BN221" s="581"/>
      <c r="BO221" s="581"/>
      <c r="BP221" s="581"/>
      <c r="BQ221" s="581"/>
      <c r="BR221" s="581"/>
      <c r="BS221" s="581"/>
      <c r="BT221" s="581"/>
      <c r="BU221" s="581"/>
      <c r="BV221" s="581"/>
      <c r="BW221" s="581"/>
      <c r="BX221" s="581"/>
      <c r="BY221" s="581"/>
      <c r="BZ221" s="581"/>
      <c r="CA221" s="581"/>
      <c r="CB221" s="581"/>
      <c r="CC221" s="581"/>
      <c r="CD221" s="581"/>
      <c r="CE221" s="581"/>
      <c r="CF221" s="581"/>
      <c r="CG221" s="581"/>
      <c r="CH221" s="581"/>
      <c r="CI221" s="581"/>
      <c r="CJ221" s="581"/>
      <c r="CK221" s="581"/>
      <c r="CL221" s="581"/>
      <c r="CM221" s="581"/>
      <c r="CN221" s="581"/>
      <c r="CO221" s="581"/>
      <c r="CP221" s="581"/>
      <c r="CQ221" s="581"/>
      <c r="CR221" s="581"/>
      <c r="CS221" s="581"/>
      <c r="CT221" s="581"/>
      <c r="CU221" s="581"/>
      <c r="CV221" s="581"/>
      <c r="CW221" s="581"/>
      <c r="CX221" s="581"/>
      <c r="CY221" s="581"/>
      <c r="CZ221" s="581"/>
      <c r="DA221" s="581"/>
      <c r="DB221" s="581"/>
      <c r="DC221" s="581"/>
      <c r="DD221" s="581"/>
      <c r="DE221" s="581"/>
      <c r="DF221" s="581"/>
      <c r="DG221" s="581"/>
      <c r="DH221" s="581"/>
      <c r="DI221" s="581"/>
      <c r="DJ221" s="581"/>
      <c r="DK221" s="581"/>
      <c r="DL221" s="581"/>
      <c r="DM221" s="581"/>
      <c r="DN221" s="581"/>
      <c r="DO221" s="581"/>
      <c r="DP221" s="581"/>
      <c r="DQ221" s="581"/>
      <c r="DR221" s="581"/>
      <c r="DS221" s="581"/>
      <c r="DT221" s="581"/>
      <c r="DU221" s="581"/>
      <c r="DV221" s="581"/>
      <c r="DW221" s="581"/>
      <c r="DX221" s="581"/>
      <c r="DY221" s="581"/>
      <c r="DZ221" s="581"/>
      <c r="EA221" s="581"/>
      <c r="EB221" s="581"/>
      <c r="EC221" s="581"/>
      <c r="ED221" s="581"/>
      <c r="EE221" s="581"/>
      <c r="EF221" s="581"/>
      <c r="EG221" s="581"/>
      <c r="EH221" s="581"/>
      <c r="EI221" s="581"/>
      <c r="EJ221" s="581"/>
    </row>
    <row r="222" spans="1:140" ht="30.75">
      <c r="A222" s="801" t="s">
        <v>875</v>
      </c>
      <c r="B222" s="758"/>
      <c r="C222" s="758"/>
      <c r="D222" s="758"/>
      <c r="E222" s="849"/>
      <c r="F222" s="734"/>
      <c r="G222" s="597"/>
      <c r="H222" s="544"/>
      <c r="I222" s="544"/>
      <c r="J222" s="596"/>
      <c r="K222" s="575"/>
      <c r="L222" s="569"/>
      <c r="M222" s="569"/>
      <c r="N222" s="569"/>
      <c r="O222" s="569"/>
      <c r="AG222" s="578"/>
      <c r="AH222" s="578"/>
      <c r="AI222" s="578"/>
      <c r="AJ222" s="578"/>
      <c r="AK222" s="578"/>
      <c r="AL222" s="579"/>
      <c r="AM222" s="580"/>
      <c r="AN222" s="581"/>
      <c r="AO222" s="581"/>
      <c r="AP222" s="579"/>
      <c r="AQ222" s="582"/>
      <c r="AR222" s="581"/>
      <c r="AS222" s="581"/>
      <c r="AT222" s="581"/>
      <c r="AU222" s="581"/>
      <c r="AV222" s="581"/>
      <c r="AW222" s="581"/>
      <c r="AX222" s="581"/>
      <c r="AY222" s="581"/>
      <c r="AZ222" s="581"/>
      <c r="BA222" s="581"/>
      <c r="BB222" s="581"/>
      <c r="BC222" s="581"/>
      <c r="BD222" s="581"/>
      <c r="BE222" s="581"/>
      <c r="BF222" s="581"/>
      <c r="BG222" s="581"/>
      <c r="BH222" s="581"/>
      <c r="BI222" s="581"/>
      <c r="BJ222" s="581"/>
      <c r="BK222" s="581"/>
      <c r="BL222" s="581"/>
      <c r="BM222" s="581"/>
      <c r="BN222" s="581"/>
      <c r="BO222" s="581"/>
      <c r="BP222" s="581"/>
      <c r="BQ222" s="581"/>
      <c r="BR222" s="581"/>
      <c r="BS222" s="581"/>
      <c r="BT222" s="581"/>
      <c r="BU222" s="581"/>
      <c r="BV222" s="581"/>
      <c r="BW222" s="581"/>
      <c r="BX222" s="581"/>
      <c r="BY222" s="581"/>
      <c r="BZ222" s="581"/>
      <c r="CA222" s="581"/>
      <c r="CB222" s="581"/>
      <c r="CC222" s="581"/>
      <c r="CD222" s="581"/>
      <c r="CE222" s="581"/>
      <c r="CF222" s="581"/>
      <c r="CG222" s="581"/>
      <c r="CH222" s="581"/>
      <c r="CI222" s="581"/>
      <c r="CJ222" s="581"/>
      <c r="CK222" s="581"/>
      <c r="CL222" s="581"/>
      <c r="CM222" s="581"/>
      <c r="CN222" s="581"/>
      <c r="CO222" s="581"/>
      <c r="CP222" s="581"/>
      <c r="CQ222" s="581"/>
      <c r="CR222" s="581"/>
      <c r="CS222" s="581"/>
      <c r="CT222" s="581"/>
      <c r="CU222" s="581"/>
      <c r="CV222" s="581"/>
      <c r="CW222" s="581"/>
      <c r="CX222" s="581"/>
      <c r="CY222" s="581"/>
      <c r="CZ222" s="581"/>
      <c r="DA222" s="581"/>
      <c r="DB222" s="581"/>
      <c r="DC222" s="581"/>
      <c r="DD222" s="581"/>
      <c r="DE222" s="581"/>
      <c r="DF222" s="581"/>
      <c r="DG222" s="581"/>
      <c r="DH222" s="581"/>
      <c r="DI222" s="581"/>
      <c r="DJ222" s="581"/>
      <c r="DK222" s="581"/>
      <c r="DL222" s="581"/>
      <c r="DM222" s="581"/>
      <c r="DN222" s="581"/>
      <c r="DO222" s="581"/>
      <c r="DP222" s="581"/>
      <c r="DQ222" s="581"/>
      <c r="DR222" s="581"/>
      <c r="DS222" s="581"/>
      <c r="DT222" s="581"/>
      <c r="DU222" s="581"/>
      <c r="DV222" s="581"/>
      <c r="DW222" s="581"/>
      <c r="DX222" s="581"/>
      <c r="DY222" s="581"/>
      <c r="DZ222" s="581"/>
      <c r="EA222" s="581"/>
      <c r="EB222" s="581"/>
      <c r="EC222" s="581"/>
      <c r="ED222" s="581"/>
      <c r="EE222" s="581"/>
      <c r="EF222" s="581"/>
      <c r="EG222" s="581"/>
      <c r="EH222" s="581"/>
      <c r="EI222" s="581"/>
      <c r="EJ222" s="581"/>
    </row>
    <row r="223" spans="1:140" ht="108">
      <c r="A223" s="801" t="s">
        <v>682</v>
      </c>
      <c r="B223" s="758" t="s">
        <v>790</v>
      </c>
      <c r="C223" s="808" t="s">
        <v>774</v>
      </c>
      <c r="D223" s="758" t="s">
        <v>726</v>
      </c>
      <c r="E223" s="849"/>
      <c r="F223" s="734">
        <v>70</v>
      </c>
      <c r="G223" s="602">
        <f>SUM(6631-G81)</f>
        <v>4881</v>
      </c>
      <c r="H223" s="603"/>
      <c r="I223" s="603"/>
      <c r="J223" s="601">
        <f aca="true" t="shared" si="39" ref="J223:J229">SUM(F223/K223)*G223</f>
        <v>34167</v>
      </c>
      <c r="K223" s="575">
        <v>10</v>
      </c>
      <c r="L223" s="569"/>
      <c r="M223" s="569"/>
      <c r="N223" s="569"/>
      <c r="O223" s="569"/>
      <c r="AG223" s="578"/>
      <c r="AH223" s="578"/>
      <c r="AI223" s="578"/>
      <c r="AJ223" s="578"/>
      <c r="AK223" s="578"/>
      <c r="AL223" s="579"/>
      <c r="AM223" s="580"/>
      <c r="AN223" s="581"/>
      <c r="AO223" s="581"/>
      <c r="AP223" s="579"/>
      <c r="AQ223" s="582"/>
      <c r="AR223" s="581"/>
      <c r="AS223" s="581"/>
      <c r="AT223" s="581"/>
      <c r="AU223" s="581"/>
      <c r="AV223" s="581"/>
      <c r="AW223" s="581"/>
      <c r="AX223" s="581"/>
      <c r="AY223" s="581"/>
      <c r="AZ223" s="581"/>
      <c r="BA223" s="581"/>
      <c r="BB223" s="581"/>
      <c r="BC223" s="581"/>
      <c r="BD223" s="581"/>
      <c r="BE223" s="581"/>
      <c r="BF223" s="581"/>
      <c r="BG223" s="581"/>
      <c r="BH223" s="581"/>
      <c r="BI223" s="581"/>
      <c r="BJ223" s="581"/>
      <c r="BK223" s="581"/>
      <c r="BL223" s="581"/>
      <c r="BM223" s="581"/>
      <c r="BN223" s="581"/>
      <c r="BO223" s="581"/>
      <c r="BP223" s="581"/>
      <c r="BQ223" s="581"/>
      <c r="BR223" s="581"/>
      <c r="BS223" s="581"/>
      <c r="BT223" s="581"/>
      <c r="BU223" s="581"/>
      <c r="BV223" s="581"/>
      <c r="BW223" s="581"/>
      <c r="BX223" s="581"/>
      <c r="BY223" s="581"/>
      <c r="BZ223" s="581"/>
      <c r="CA223" s="581"/>
      <c r="CB223" s="581"/>
      <c r="CC223" s="581"/>
      <c r="CD223" s="581"/>
      <c r="CE223" s="581"/>
      <c r="CF223" s="581"/>
      <c r="CG223" s="581"/>
      <c r="CH223" s="581"/>
      <c r="CI223" s="581"/>
      <c r="CJ223" s="581"/>
      <c r="CK223" s="581"/>
      <c r="CL223" s="581"/>
      <c r="CM223" s="581"/>
      <c r="CN223" s="581"/>
      <c r="CO223" s="581"/>
      <c r="CP223" s="581"/>
      <c r="CQ223" s="581"/>
      <c r="CR223" s="581"/>
      <c r="CS223" s="581"/>
      <c r="CT223" s="581"/>
      <c r="CU223" s="581"/>
      <c r="CV223" s="581"/>
      <c r="CW223" s="581"/>
      <c r="CX223" s="581"/>
      <c r="CY223" s="581"/>
      <c r="CZ223" s="581"/>
      <c r="DA223" s="581"/>
      <c r="DB223" s="581"/>
      <c r="DC223" s="581"/>
      <c r="DD223" s="581"/>
      <c r="DE223" s="581"/>
      <c r="DF223" s="581"/>
      <c r="DG223" s="581"/>
      <c r="DH223" s="581"/>
      <c r="DI223" s="581"/>
      <c r="DJ223" s="581"/>
      <c r="DK223" s="581"/>
      <c r="DL223" s="581"/>
      <c r="DM223" s="581"/>
      <c r="DN223" s="581"/>
      <c r="DO223" s="581"/>
      <c r="DP223" s="581"/>
      <c r="DQ223" s="581"/>
      <c r="DR223" s="581"/>
      <c r="DS223" s="581"/>
      <c r="DT223" s="581"/>
      <c r="DU223" s="581"/>
      <c r="DV223" s="581"/>
      <c r="DW223" s="581"/>
      <c r="DX223" s="581"/>
      <c r="DY223" s="581"/>
      <c r="DZ223" s="581"/>
      <c r="EA223" s="581"/>
      <c r="EB223" s="581"/>
      <c r="EC223" s="581"/>
      <c r="ED223" s="581"/>
      <c r="EE223" s="581"/>
      <c r="EF223" s="581"/>
      <c r="EG223" s="581"/>
      <c r="EH223" s="581"/>
      <c r="EI223" s="581"/>
      <c r="EJ223" s="581"/>
    </row>
    <row r="224" spans="1:140" ht="123.75">
      <c r="A224" s="801" t="s">
        <v>878</v>
      </c>
      <c r="B224" s="758" t="s">
        <v>819</v>
      </c>
      <c r="C224" s="808" t="s">
        <v>820</v>
      </c>
      <c r="D224" s="758">
        <v>1</v>
      </c>
      <c r="E224" s="851" t="s">
        <v>732</v>
      </c>
      <c r="F224" s="963">
        <v>15000</v>
      </c>
      <c r="G224" s="602">
        <v>185</v>
      </c>
      <c r="H224" s="603"/>
      <c r="I224" s="603"/>
      <c r="J224" s="601">
        <f t="shared" si="39"/>
        <v>277500</v>
      </c>
      <c r="K224" s="575">
        <v>10</v>
      </c>
      <c r="L224" s="569"/>
      <c r="M224" s="569"/>
      <c r="N224" s="569"/>
      <c r="O224" s="569"/>
      <c r="AG224" s="578"/>
      <c r="AH224" s="578"/>
      <c r="AI224" s="578"/>
      <c r="AJ224" s="578"/>
      <c r="AK224" s="578"/>
      <c r="AL224" s="579"/>
      <c r="AM224" s="580"/>
      <c r="AN224" s="581"/>
      <c r="AO224" s="581"/>
      <c r="AP224" s="579"/>
      <c r="AQ224" s="582"/>
      <c r="AR224" s="581"/>
      <c r="AS224" s="581"/>
      <c r="AT224" s="581"/>
      <c r="AU224" s="581"/>
      <c r="AV224" s="581"/>
      <c r="AW224" s="581"/>
      <c r="AX224" s="581"/>
      <c r="AY224" s="581"/>
      <c r="AZ224" s="581"/>
      <c r="BA224" s="581"/>
      <c r="BB224" s="581"/>
      <c r="BC224" s="581"/>
      <c r="BD224" s="581"/>
      <c r="BE224" s="581"/>
      <c r="BF224" s="581"/>
      <c r="BG224" s="581"/>
      <c r="BH224" s="581"/>
      <c r="BI224" s="581"/>
      <c r="BJ224" s="581"/>
      <c r="BK224" s="581"/>
      <c r="BL224" s="581"/>
      <c r="BM224" s="581"/>
      <c r="BN224" s="581"/>
      <c r="BO224" s="581"/>
      <c r="BP224" s="581"/>
      <c r="BQ224" s="581"/>
      <c r="BR224" s="581"/>
      <c r="BS224" s="581"/>
      <c r="BT224" s="581"/>
      <c r="BU224" s="581"/>
      <c r="BV224" s="581"/>
      <c r="BW224" s="581"/>
      <c r="BX224" s="581"/>
      <c r="BY224" s="581"/>
      <c r="BZ224" s="581"/>
      <c r="CA224" s="581"/>
      <c r="CB224" s="581"/>
      <c r="CC224" s="581"/>
      <c r="CD224" s="581"/>
      <c r="CE224" s="581"/>
      <c r="CF224" s="581"/>
      <c r="CG224" s="581"/>
      <c r="CH224" s="581"/>
      <c r="CI224" s="581"/>
      <c r="CJ224" s="581"/>
      <c r="CK224" s="581"/>
      <c r="CL224" s="581"/>
      <c r="CM224" s="581"/>
      <c r="CN224" s="581"/>
      <c r="CO224" s="581"/>
      <c r="CP224" s="581"/>
      <c r="CQ224" s="581"/>
      <c r="CR224" s="581"/>
      <c r="CS224" s="581"/>
      <c r="CT224" s="581"/>
      <c r="CU224" s="581"/>
      <c r="CV224" s="581"/>
      <c r="CW224" s="581"/>
      <c r="CX224" s="581"/>
      <c r="CY224" s="581"/>
      <c r="CZ224" s="581"/>
      <c r="DA224" s="581"/>
      <c r="DB224" s="581"/>
      <c r="DC224" s="581"/>
      <c r="DD224" s="581"/>
      <c r="DE224" s="581"/>
      <c r="DF224" s="581"/>
      <c r="DG224" s="581"/>
      <c r="DH224" s="581"/>
      <c r="DI224" s="581"/>
      <c r="DJ224" s="581"/>
      <c r="DK224" s="581"/>
      <c r="DL224" s="581"/>
      <c r="DM224" s="581"/>
      <c r="DN224" s="581"/>
      <c r="DO224" s="581"/>
      <c r="DP224" s="581"/>
      <c r="DQ224" s="581"/>
      <c r="DR224" s="581"/>
      <c r="DS224" s="581"/>
      <c r="DT224" s="581"/>
      <c r="DU224" s="581"/>
      <c r="DV224" s="581"/>
      <c r="DW224" s="581"/>
      <c r="DX224" s="581"/>
      <c r="DY224" s="581"/>
      <c r="DZ224" s="581"/>
      <c r="EA224" s="581"/>
      <c r="EB224" s="581"/>
      <c r="EC224" s="581"/>
      <c r="ED224" s="581"/>
      <c r="EE224" s="581"/>
      <c r="EF224" s="581"/>
      <c r="EG224" s="581"/>
      <c r="EH224" s="581"/>
      <c r="EI224" s="581"/>
      <c r="EJ224" s="581"/>
    </row>
    <row r="225" spans="1:140" ht="46.5">
      <c r="A225" s="801" t="s">
        <v>879</v>
      </c>
      <c r="B225" s="758" t="s">
        <v>821</v>
      </c>
      <c r="C225" s="808" t="s">
        <v>777</v>
      </c>
      <c r="D225" s="758"/>
      <c r="E225" s="849"/>
      <c r="F225" s="734">
        <v>437</v>
      </c>
      <c r="G225" s="602">
        <v>449</v>
      </c>
      <c r="H225" s="603"/>
      <c r="I225" s="603"/>
      <c r="J225" s="601">
        <f t="shared" si="39"/>
        <v>32702.166666666664</v>
      </c>
      <c r="K225" s="575">
        <v>6</v>
      </c>
      <c r="L225" s="569"/>
      <c r="M225" s="569"/>
      <c r="N225" s="569"/>
      <c r="O225" s="569"/>
      <c r="AG225" s="578"/>
      <c r="AH225" s="578"/>
      <c r="AI225" s="578"/>
      <c r="AJ225" s="578"/>
      <c r="AK225" s="578"/>
      <c r="AL225" s="579"/>
      <c r="AM225" s="580"/>
      <c r="AN225" s="581"/>
      <c r="AO225" s="581"/>
      <c r="AP225" s="579"/>
      <c r="AQ225" s="582"/>
      <c r="AR225" s="581"/>
      <c r="AS225" s="581"/>
      <c r="AT225" s="581"/>
      <c r="AU225" s="581"/>
      <c r="AV225" s="581"/>
      <c r="AW225" s="581"/>
      <c r="AX225" s="581"/>
      <c r="AY225" s="581"/>
      <c r="AZ225" s="581"/>
      <c r="BA225" s="581"/>
      <c r="BB225" s="581"/>
      <c r="BC225" s="581"/>
      <c r="BD225" s="581"/>
      <c r="BE225" s="581"/>
      <c r="BF225" s="581"/>
      <c r="BG225" s="581"/>
      <c r="BH225" s="581"/>
      <c r="BI225" s="581"/>
      <c r="BJ225" s="581"/>
      <c r="BK225" s="581"/>
      <c r="BL225" s="581"/>
      <c r="BM225" s="581"/>
      <c r="BN225" s="581"/>
      <c r="BO225" s="581"/>
      <c r="BP225" s="581"/>
      <c r="BQ225" s="581"/>
      <c r="BR225" s="581"/>
      <c r="BS225" s="581"/>
      <c r="BT225" s="581"/>
      <c r="BU225" s="581"/>
      <c r="BV225" s="581"/>
      <c r="BW225" s="581"/>
      <c r="BX225" s="581"/>
      <c r="BY225" s="581"/>
      <c r="BZ225" s="581"/>
      <c r="CA225" s="581"/>
      <c r="CB225" s="581"/>
      <c r="CC225" s="581"/>
      <c r="CD225" s="581"/>
      <c r="CE225" s="581"/>
      <c r="CF225" s="581"/>
      <c r="CG225" s="581"/>
      <c r="CH225" s="581"/>
      <c r="CI225" s="581"/>
      <c r="CJ225" s="581"/>
      <c r="CK225" s="581"/>
      <c r="CL225" s="581"/>
      <c r="CM225" s="581"/>
      <c r="CN225" s="581"/>
      <c r="CO225" s="581"/>
      <c r="CP225" s="581"/>
      <c r="CQ225" s="581"/>
      <c r="CR225" s="581"/>
      <c r="CS225" s="581"/>
      <c r="CT225" s="581"/>
      <c r="CU225" s="581"/>
      <c r="CV225" s="581"/>
      <c r="CW225" s="581"/>
      <c r="CX225" s="581"/>
      <c r="CY225" s="581"/>
      <c r="CZ225" s="581"/>
      <c r="DA225" s="581"/>
      <c r="DB225" s="581"/>
      <c r="DC225" s="581"/>
      <c r="DD225" s="581"/>
      <c r="DE225" s="581"/>
      <c r="DF225" s="581"/>
      <c r="DG225" s="581"/>
      <c r="DH225" s="581"/>
      <c r="DI225" s="581"/>
      <c r="DJ225" s="581"/>
      <c r="DK225" s="581"/>
      <c r="DL225" s="581"/>
      <c r="DM225" s="581"/>
      <c r="DN225" s="581"/>
      <c r="DO225" s="581"/>
      <c r="DP225" s="581"/>
      <c r="DQ225" s="581"/>
      <c r="DR225" s="581"/>
      <c r="DS225" s="581"/>
      <c r="DT225" s="581"/>
      <c r="DU225" s="581"/>
      <c r="DV225" s="581"/>
      <c r="DW225" s="581"/>
      <c r="DX225" s="581"/>
      <c r="DY225" s="581"/>
      <c r="DZ225" s="581"/>
      <c r="EA225" s="581"/>
      <c r="EB225" s="581"/>
      <c r="EC225" s="581"/>
      <c r="ED225" s="581"/>
      <c r="EE225" s="581"/>
      <c r="EF225" s="581"/>
      <c r="EG225" s="581"/>
      <c r="EH225" s="581"/>
      <c r="EI225" s="581"/>
      <c r="EJ225" s="581"/>
    </row>
    <row r="226" spans="1:140" ht="46.5">
      <c r="A226" s="801" t="s">
        <v>880</v>
      </c>
      <c r="B226" s="758" t="s">
        <v>822</v>
      </c>
      <c r="C226" s="808" t="s">
        <v>777</v>
      </c>
      <c r="D226" s="758">
        <v>1</v>
      </c>
      <c r="E226" s="849" t="s">
        <v>352</v>
      </c>
      <c r="F226" s="734">
        <v>8038</v>
      </c>
      <c r="G226" s="602">
        <v>175</v>
      </c>
      <c r="H226" s="603"/>
      <c r="I226" s="603"/>
      <c r="J226" s="601">
        <f t="shared" si="39"/>
        <v>234441.6666666667</v>
      </c>
      <c r="K226" s="575">
        <v>6</v>
      </c>
      <c r="L226" s="569"/>
      <c r="M226" s="569"/>
      <c r="N226" s="569"/>
      <c r="O226" s="569"/>
      <c r="AG226" s="578"/>
      <c r="AH226" s="578"/>
      <c r="AI226" s="578"/>
      <c r="AJ226" s="578"/>
      <c r="AK226" s="578"/>
      <c r="AL226" s="579"/>
      <c r="AM226" s="580"/>
      <c r="AN226" s="581"/>
      <c r="AO226" s="581"/>
      <c r="AP226" s="579"/>
      <c r="AQ226" s="582"/>
      <c r="AR226" s="581"/>
      <c r="AS226" s="581"/>
      <c r="AT226" s="581"/>
      <c r="AU226" s="581"/>
      <c r="AV226" s="581"/>
      <c r="AW226" s="581"/>
      <c r="AX226" s="581"/>
      <c r="AY226" s="581"/>
      <c r="AZ226" s="581"/>
      <c r="BA226" s="581"/>
      <c r="BB226" s="581"/>
      <c r="BC226" s="581"/>
      <c r="BD226" s="581"/>
      <c r="BE226" s="581"/>
      <c r="BF226" s="581"/>
      <c r="BG226" s="581"/>
      <c r="BH226" s="581"/>
      <c r="BI226" s="581"/>
      <c r="BJ226" s="581"/>
      <c r="BK226" s="581"/>
      <c r="BL226" s="581"/>
      <c r="BM226" s="581"/>
      <c r="BN226" s="581"/>
      <c r="BO226" s="581"/>
      <c r="BP226" s="581"/>
      <c r="BQ226" s="581"/>
      <c r="BR226" s="581"/>
      <c r="BS226" s="581"/>
      <c r="BT226" s="581"/>
      <c r="BU226" s="581"/>
      <c r="BV226" s="581"/>
      <c r="BW226" s="581"/>
      <c r="BX226" s="581"/>
      <c r="BY226" s="581"/>
      <c r="BZ226" s="581"/>
      <c r="CA226" s="581"/>
      <c r="CB226" s="581"/>
      <c r="CC226" s="581"/>
      <c r="CD226" s="581"/>
      <c r="CE226" s="581"/>
      <c r="CF226" s="581"/>
      <c r="CG226" s="581"/>
      <c r="CH226" s="581"/>
      <c r="CI226" s="581"/>
      <c r="CJ226" s="581"/>
      <c r="CK226" s="581"/>
      <c r="CL226" s="581"/>
      <c r="CM226" s="581"/>
      <c r="CN226" s="581"/>
      <c r="CO226" s="581"/>
      <c r="CP226" s="581"/>
      <c r="CQ226" s="581"/>
      <c r="CR226" s="581"/>
      <c r="CS226" s="581"/>
      <c r="CT226" s="581"/>
      <c r="CU226" s="581"/>
      <c r="CV226" s="581"/>
      <c r="CW226" s="581"/>
      <c r="CX226" s="581"/>
      <c r="CY226" s="581"/>
      <c r="CZ226" s="581"/>
      <c r="DA226" s="581"/>
      <c r="DB226" s="581"/>
      <c r="DC226" s="581"/>
      <c r="DD226" s="581"/>
      <c r="DE226" s="581"/>
      <c r="DF226" s="581"/>
      <c r="DG226" s="581"/>
      <c r="DH226" s="581"/>
      <c r="DI226" s="581"/>
      <c r="DJ226" s="581"/>
      <c r="DK226" s="581"/>
      <c r="DL226" s="581"/>
      <c r="DM226" s="581"/>
      <c r="DN226" s="581"/>
      <c r="DO226" s="581"/>
      <c r="DP226" s="581"/>
      <c r="DQ226" s="581"/>
      <c r="DR226" s="581"/>
      <c r="DS226" s="581"/>
      <c r="DT226" s="581"/>
      <c r="DU226" s="581"/>
      <c r="DV226" s="581"/>
      <c r="DW226" s="581"/>
      <c r="DX226" s="581"/>
      <c r="DY226" s="581"/>
      <c r="DZ226" s="581"/>
      <c r="EA226" s="581"/>
      <c r="EB226" s="581"/>
      <c r="EC226" s="581"/>
      <c r="ED226" s="581"/>
      <c r="EE226" s="581"/>
      <c r="EF226" s="581"/>
      <c r="EG226" s="581"/>
      <c r="EH226" s="581"/>
      <c r="EI226" s="581"/>
      <c r="EJ226" s="581"/>
    </row>
    <row r="227" spans="1:140" ht="77.25">
      <c r="A227" s="801" t="s">
        <v>881</v>
      </c>
      <c r="B227" s="758"/>
      <c r="C227" s="808" t="s">
        <v>823</v>
      </c>
      <c r="D227" s="758">
        <v>1</v>
      </c>
      <c r="E227" s="849" t="s">
        <v>733</v>
      </c>
      <c r="F227" s="734">
        <v>83</v>
      </c>
      <c r="G227" s="602">
        <f>51998/40</f>
        <v>1299.95</v>
      </c>
      <c r="H227" s="603"/>
      <c r="I227" s="603"/>
      <c r="J227" s="601">
        <f t="shared" si="39"/>
        <v>17982.641666666666</v>
      </c>
      <c r="K227" s="575">
        <v>6</v>
      </c>
      <c r="L227" s="688"/>
      <c r="M227" s="688"/>
      <c r="N227" s="688"/>
      <c r="O227" s="688"/>
      <c r="AG227" s="578"/>
      <c r="AH227" s="578"/>
      <c r="AI227" s="578"/>
      <c r="AJ227" s="578"/>
      <c r="AK227" s="578"/>
      <c r="AL227" s="579"/>
      <c r="AM227" s="580"/>
      <c r="AN227" s="581"/>
      <c r="AO227" s="581"/>
      <c r="AP227" s="579"/>
      <c r="AQ227" s="582"/>
      <c r="AR227" s="581"/>
      <c r="AS227" s="581"/>
      <c r="AT227" s="581"/>
      <c r="AU227" s="581"/>
      <c r="AV227" s="581"/>
      <c r="AW227" s="581"/>
      <c r="AX227" s="581"/>
      <c r="AY227" s="581"/>
      <c r="AZ227" s="581"/>
      <c r="BA227" s="581"/>
      <c r="BB227" s="581"/>
      <c r="BC227" s="581"/>
      <c r="BD227" s="581"/>
      <c r="BE227" s="581"/>
      <c r="BF227" s="581"/>
      <c r="BG227" s="581"/>
      <c r="BH227" s="581"/>
      <c r="BI227" s="581"/>
      <c r="BJ227" s="581"/>
      <c r="BK227" s="581"/>
      <c r="BL227" s="581"/>
      <c r="BM227" s="581"/>
      <c r="BN227" s="581"/>
      <c r="BO227" s="581"/>
      <c r="BP227" s="581"/>
      <c r="BQ227" s="581"/>
      <c r="BR227" s="581"/>
      <c r="BS227" s="581"/>
      <c r="BT227" s="581"/>
      <c r="BU227" s="581"/>
      <c r="BV227" s="581"/>
      <c r="BW227" s="581"/>
      <c r="BX227" s="581"/>
      <c r="BY227" s="581"/>
      <c r="BZ227" s="581"/>
      <c r="CA227" s="581"/>
      <c r="CB227" s="581"/>
      <c r="CC227" s="581"/>
      <c r="CD227" s="581"/>
      <c r="CE227" s="581"/>
      <c r="CF227" s="581"/>
      <c r="CG227" s="581"/>
      <c r="CH227" s="581"/>
      <c r="CI227" s="581"/>
      <c r="CJ227" s="581"/>
      <c r="CK227" s="581"/>
      <c r="CL227" s="581"/>
      <c r="CM227" s="581"/>
      <c r="CN227" s="581"/>
      <c r="CO227" s="581"/>
      <c r="CP227" s="581"/>
      <c r="CQ227" s="581"/>
      <c r="CR227" s="581"/>
      <c r="CS227" s="581"/>
      <c r="CT227" s="581"/>
      <c r="CU227" s="581"/>
      <c r="CV227" s="581"/>
      <c r="CW227" s="581"/>
      <c r="CX227" s="581"/>
      <c r="CY227" s="581"/>
      <c r="CZ227" s="581"/>
      <c r="DA227" s="581"/>
      <c r="DB227" s="581"/>
      <c r="DC227" s="581"/>
      <c r="DD227" s="581"/>
      <c r="DE227" s="581"/>
      <c r="DF227" s="581"/>
      <c r="DG227" s="581"/>
      <c r="DH227" s="581"/>
      <c r="DI227" s="581"/>
      <c r="DJ227" s="581"/>
      <c r="DK227" s="581"/>
      <c r="DL227" s="581"/>
      <c r="DM227" s="581"/>
      <c r="DN227" s="581"/>
      <c r="DO227" s="581"/>
      <c r="DP227" s="581"/>
      <c r="DQ227" s="581"/>
      <c r="DR227" s="581"/>
      <c r="DS227" s="581"/>
      <c r="DT227" s="581"/>
      <c r="DU227" s="581"/>
      <c r="DV227" s="581"/>
      <c r="DW227" s="581"/>
      <c r="DX227" s="581"/>
      <c r="DY227" s="581"/>
      <c r="DZ227" s="581"/>
      <c r="EA227" s="581"/>
      <c r="EB227" s="581"/>
      <c r="EC227" s="581"/>
      <c r="ED227" s="581"/>
      <c r="EE227" s="581"/>
      <c r="EF227" s="581"/>
      <c r="EG227" s="581"/>
      <c r="EH227" s="581"/>
      <c r="EI227" s="581"/>
      <c r="EJ227" s="581"/>
    </row>
    <row r="228" spans="1:140" ht="84">
      <c r="A228" s="801" t="s">
        <v>885</v>
      </c>
      <c r="B228" s="758" t="s">
        <v>822</v>
      </c>
      <c r="C228" s="808" t="s">
        <v>777</v>
      </c>
      <c r="D228" s="758">
        <v>1</v>
      </c>
      <c r="E228" s="851" t="s">
        <v>734</v>
      </c>
      <c r="F228" s="963">
        <v>6600</v>
      </c>
      <c r="G228" s="602">
        <v>206</v>
      </c>
      <c r="H228" s="603"/>
      <c r="I228" s="603"/>
      <c r="J228" s="601">
        <f t="shared" si="39"/>
        <v>135960</v>
      </c>
      <c r="K228" s="575">
        <v>10</v>
      </c>
      <c r="L228" s="688"/>
      <c r="M228" s="688"/>
      <c r="N228" s="688"/>
      <c r="O228" s="688"/>
      <c r="AG228" s="578"/>
      <c r="AH228" s="578"/>
      <c r="AI228" s="578"/>
      <c r="AJ228" s="578"/>
      <c r="AK228" s="578"/>
      <c r="AL228" s="579"/>
      <c r="AM228" s="580"/>
      <c r="AN228" s="581"/>
      <c r="AO228" s="581"/>
      <c r="AP228" s="579"/>
      <c r="AQ228" s="582"/>
      <c r="AR228" s="581"/>
      <c r="AS228" s="581"/>
      <c r="AT228" s="581"/>
      <c r="AU228" s="581"/>
      <c r="AV228" s="581"/>
      <c r="AW228" s="581"/>
      <c r="AX228" s="581"/>
      <c r="AY228" s="581"/>
      <c r="AZ228" s="581"/>
      <c r="BA228" s="581"/>
      <c r="BB228" s="581"/>
      <c r="BC228" s="581"/>
      <c r="BD228" s="581"/>
      <c r="BE228" s="581"/>
      <c r="BF228" s="581"/>
      <c r="BG228" s="581"/>
      <c r="BH228" s="581"/>
      <c r="BI228" s="581"/>
      <c r="BJ228" s="581"/>
      <c r="BK228" s="581"/>
      <c r="BL228" s="581"/>
      <c r="BM228" s="581"/>
      <c r="BN228" s="581"/>
      <c r="BO228" s="581"/>
      <c r="BP228" s="581"/>
      <c r="BQ228" s="581"/>
      <c r="BR228" s="581"/>
      <c r="BS228" s="581"/>
      <c r="BT228" s="581"/>
      <c r="BU228" s="581"/>
      <c r="BV228" s="581"/>
      <c r="BW228" s="581"/>
      <c r="BX228" s="581"/>
      <c r="BY228" s="581"/>
      <c r="BZ228" s="581"/>
      <c r="CA228" s="581"/>
      <c r="CB228" s="581"/>
      <c r="CC228" s="581"/>
      <c r="CD228" s="581"/>
      <c r="CE228" s="581"/>
      <c r="CF228" s="581"/>
      <c r="CG228" s="581"/>
      <c r="CH228" s="581"/>
      <c r="CI228" s="581"/>
      <c r="CJ228" s="581"/>
      <c r="CK228" s="581"/>
      <c r="CL228" s="581"/>
      <c r="CM228" s="581"/>
      <c r="CN228" s="581"/>
      <c r="CO228" s="581"/>
      <c r="CP228" s="581"/>
      <c r="CQ228" s="581"/>
      <c r="CR228" s="581"/>
      <c r="CS228" s="581"/>
      <c r="CT228" s="581"/>
      <c r="CU228" s="581"/>
      <c r="CV228" s="581"/>
      <c r="CW228" s="581"/>
      <c r="CX228" s="581"/>
      <c r="CY228" s="581"/>
      <c r="CZ228" s="581"/>
      <c r="DA228" s="581"/>
      <c r="DB228" s="581"/>
      <c r="DC228" s="581"/>
      <c r="DD228" s="581"/>
      <c r="DE228" s="581"/>
      <c r="DF228" s="581"/>
      <c r="DG228" s="581"/>
      <c r="DH228" s="581"/>
      <c r="DI228" s="581"/>
      <c r="DJ228" s="581"/>
      <c r="DK228" s="581"/>
      <c r="DL228" s="581"/>
      <c r="DM228" s="581"/>
      <c r="DN228" s="581"/>
      <c r="DO228" s="581"/>
      <c r="DP228" s="581"/>
      <c r="DQ228" s="581"/>
      <c r="DR228" s="581"/>
      <c r="DS228" s="581"/>
      <c r="DT228" s="581"/>
      <c r="DU228" s="581"/>
      <c r="DV228" s="581"/>
      <c r="DW228" s="581"/>
      <c r="DX228" s="581"/>
      <c r="DY228" s="581"/>
      <c r="DZ228" s="581"/>
      <c r="EA228" s="581"/>
      <c r="EB228" s="581"/>
      <c r="EC228" s="581"/>
      <c r="ED228" s="581"/>
      <c r="EE228" s="581"/>
      <c r="EF228" s="581"/>
      <c r="EG228" s="581"/>
      <c r="EH228" s="581"/>
      <c r="EI228" s="581"/>
      <c r="EJ228" s="581"/>
    </row>
    <row r="229" spans="1:140" ht="77.25">
      <c r="A229" s="801" t="s">
        <v>886</v>
      </c>
      <c r="B229" s="758" t="s">
        <v>778</v>
      </c>
      <c r="C229" s="808" t="s">
        <v>777</v>
      </c>
      <c r="D229" s="758">
        <v>1</v>
      </c>
      <c r="E229" s="849" t="s">
        <v>698</v>
      </c>
      <c r="F229" s="963">
        <v>18000</v>
      </c>
      <c r="G229" s="602">
        <v>114</v>
      </c>
      <c r="H229" s="603"/>
      <c r="I229" s="603"/>
      <c r="J229" s="601">
        <f t="shared" si="39"/>
        <v>205200</v>
      </c>
      <c r="K229" s="575">
        <v>10</v>
      </c>
      <c r="L229" s="688"/>
      <c r="M229" s="688"/>
      <c r="N229" s="688"/>
      <c r="O229" s="688"/>
      <c r="AG229" s="578"/>
      <c r="AH229" s="578"/>
      <c r="AI229" s="578"/>
      <c r="AJ229" s="578"/>
      <c r="AK229" s="578"/>
      <c r="AL229" s="579"/>
      <c r="AM229" s="580"/>
      <c r="AN229" s="581"/>
      <c r="AO229" s="581"/>
      <c r="AP229" s="579"/>
      <c r="AQ229" s="582"/>
      <c r="AR229" s="581"/>
      <c r="AS229" s="581"/>
      <c r="AT229" s="581"/>
      <c r="AU229" s="581"/>
      <c r="AV229" s="581"/>
      <c r="AW229" s="581"/>
      <c r="AX229" s="581"/>
      <c r="AY229" s="581"/>
      <c r="AZ229" s="581"/>
      <c r="BA229" s="581"/>
      <c r="BB229" s="581"/>
      <c r="BC229" s="581"/>
      <c r="BD229" s="581"/>
      <c r="BE229" s="581"/>
      <c r="BF229" s="581"/>
      <c r="BG229" s="581"/>
      <c r="BH229" s="581"/>
      <c r="BI229" s="581"/>
      <c r="BJ229" s="581"/>
      <c r="BK229" s="581"/>
      <c r="BL229" s="581"/>
      <c r="BM229" s="581"/>
      <c r="BN229" s="581"/>
      <c r="BO229" s="581"/>
      <c r="BP229" s="581"/>
      <c r="BQ229" s="581"/>
      <c r="BR229" s="581"/>
      <c r="BS229" s="581"/>
      <c r="BT229" s="581"/>
      <c r="BU229" s="581"/>
      <c r="BV229" s="581"/>
      <c r="BW229" s="581"/>
      <c r="BX229" s="581"/>
      <c r="BY229" s="581"/>
      <c r="BZ229" s="581"/>
      <c r="CA229" s="581"/>
      <c r="CB229" s="581"/>
      <c r="CC229" s="581"/>
      <c r="CD229" s="581"/>
      <c r="CE229" s="581"/>
      <c r="CF229" s="581"/>
      <c r="CG229" s="581"/>
      <c r="CH229" s="581"/>
      <c r="CI229" s="581"/>
      <c r="CJ229" s="581"/>
      <c r="CK229" s="581"/>
      <c r="CL229" s="581"/>
      <c r="CM229" s="581"/>
      <c r="CN229" s="581"/>
      <c r="CO229" s="581"/>
      <c r="CP229" s="581"/>
      <c r="CQ229" s="581"/>
      <c r="CR229" s="581"/>
      <c r="CS229" s="581"/>
      <c r="CT229" s="581"/>
      <c r="CU229" s="581"/>
      <c r="CV229" s="581"/>
      <c r="CW229" s="581"/>
      <c r="CX229" s="581"/>
      <c r="CY229" s="581"/>
      <c r="CZ229" s="581"/>
      <c r="DA229" s="581"/>
      <c r="DB229" s="581"/>
      <c r="DC229" s="581"/>
      <c r="DD229" s="581"/>
      <c r="DE229" s="581"/>
      <c r="DF229" s="581"/>
      <c r="DG229" s="581"/>
      <c r="DH229" s="581"/>
      <c r="DI229" s="581"/>
      <c r="DJ229" s="581"/>
      <c r="DK229" s="581"/>
      <c r="DL229" s="581"/>
      <c r="DM229" s="581"/>
      <c r="DN229" s="581"/>
      <c r="DO229" s="581"/>
      <c r="DP229" s="581"/>
      <c r="DQ229" s="581"/>
      <c r="DR229" s="581"/>
      <c r="DS229" s="581"/>
      <c r="DT229" s="581"/>
      <c r="DU229" s="581"/>
      <c r="DV229" s="581"/>
      <c r="DW229" s="581"/>
      <c r="DX229" s="581"/>
      <c r="DY229" s="581"/>
      <c r="DZ229" s="581"/>
      <c r="EA229" s="581"/>
      <c r="EB229" s="581"/>
      <c r="EC229" s="581"/>
      <c r="ED229" s="581"/>
      <c r="EE229" s="581"/>
      <c r="EF229" s="581"/>
      <c r="EG229" s="581"/>
      <c r="EH229" s="581"/>
      <c r="EI229" s="581"/>
      <c r="EJ229" s="581"/>
    </row>
    <row r="230" spans="1:140" ht="15">
      <c r="A230" s="624"/>
      <c r="B230" s="758"/>
      <c r="C230" s="732"/>
      <c r="D230" s="732"/>
      <c r="E230" s="843"/>
      <c r="F230" s="806"/>
      <c r="G230" s="580"/>
      <c r="H230" s="581"/>
      <c r="I230" s="581"/>
      <c r="J230" s="579"/>
      <c r="K230" s="807"/>
      <c r="L230" s="688"/>
      <c r="M230" s="688"/>
      <c r="N230" s="688"/>
      <c r="O230" s="688"/>
      <c r="AG230" s="578"/>
      <c r="AH230" s="578"/>
      <c r="AI230" s="578"/>
      <c r="AJ230" s="578"/>
      <c r="AK230" s="578"/>
      <c r="AL230" s="579"/>
      <c r="AM230" s="580"/>
      <c r="AN230" s="581"/>
      <c r="AO230" s="581"/>
      <c r="AP230" s="579"/>
      <c r="AQ230" s="582"/>
      <c r="AR230" s="581"/>
      <c r="AS230" s="581"/>
      <c r="AT230" s="581"/>
      <c r="AU230" s="581"/>
      <c r="AV230" s="581"/>
      <c r="AW230" s="581"/>
      <c r="AX230" s="581"/>
      <c r="AY230" s="581"/>
      <c r="AZ230" s="581"/>
      <c r="BA230" s="581"/>
      <c r="BB230" s="581"/>
      <c r="BC230" s="581"/>
      <c r="BD230" s="581"/>
      <c r="BE230" s="581"/>
      <c r="BF230" s="581"/>
      <c r="BG230" s="581"/>
      <c r="BH230" s="581"/>
      <c r="BI230" s="581"/>
      <c r="BJ230" s="581"/>
      <c r="BK230" s="581"/>
      <c r="BL230" s="581"/>
      <c r="BM230" s="581"/>
      <c r="BN230" s="581"/>
      <c r="BO230" s="581"/>
      <c r="BP230" s="581"/>
      <c r="BQ230" s="581"/>
      <c r="BR230" s="581"/>
      <c r="BS230" s="581"/>
      <c r="BT230" s="581"/>
      <c r="BU230" s="581"/>
      <c r="BV230" s="581"/>
      <c r="BW230" s="581"/>
      <c r="BX230" s="581"/>
      <c r="BY230" s="581"/>
      <c r="BZ230" s="581"/>
      <c r="CA230" s="581"/>
      <c r="CB230" s="581"/>
      <c r="CC230" s="581"/>
      <c r="CD230" s="581"/>
      <c r="CE230" s="581"/>
      <c r="CF230" s="581"/>
      <c r="CG230" s="581"/>
      <c r="CH230" s="581"/>
      <c r="CI230" s="581"/>
      <c r="CJ230" s="581"/>
      <c r="CK230" s="581"/>
      <c r="CL230" s="581"/>
      <c r="CM230" s="581"/>
      <c r="CN230" s="581"/>
      <c r="CO230" s="581"/>
      <c r="CP230" s="581"/>
      <c r="CQ230" s="581"/>
      <c r="CR230" s="581"/>
      <c r="CS230" s="581"/>
      <c r="CT230" s="581"/>
      <c r="CU230" s="581"/>
      <c r="CV230" s="581"/>
      <c r="CW230" s="581"/>
      <c r="CX230" s="581"/>
      <c r="CY230" s="581"/>
      <c r="CZ230" s="581"/>
      <c r="DA230" s="581"/>
      <c r="DB230" s="581"/>
      <c r="DC230" s="581"/>
      <c r="DD230" s="581"/>
      <c r="DE230" s="581"/>
      <c r="DF230" s="581"/>
      <c r="DG230" s="581"/>
      <c r="DH230" s="581"/>
      <c r="DI230" s="581"/>
      <c r="DJ230" s="581"/>
      <c r="DK230" s="581"/>
      <c r="DL230" s="581"/>
      <c r="DM230" s="581"/>
      <c r="DN230" s="581"/>
      <c r="DO230" s="581"/>
      <c r="DP230" s="581"/>
      <c r="DQ230" s="581"/>
      <c r="DR230" s="581"/>
      <c r="DS230" s="581"/>
      <c r="DT230" s="581"/>
      <c r="DU230" s="581"/>
      <c r="DV230" s="581"/>
      <c r="DW230" s="581"/>
      <c r="DX230" s="581"/>
      <c r="DY230" s="581"/>
      <c r="DZ230" s="581"/>
      <c r="EA230" s="581"/>
      <c r="EB230" s="581"/>
      <c r="EC230" s="581"/>
      <c r="ED230" s="581"/>
      <c r="EE230" s="581"/>
      <c r="EF230" s="581"/>
      <c r="EG230" s="581"/>
      <c r="EH230" s="581"/>
      <c r="EI230" s="581"/>
      <c r="EJ230" s="581"/>
    </row>
    <row r="231" spans="1:140" ht="18">
      <c r="A231" s="668" t="s">
        <v>75</v>
      </c>
      <c r="B231" s="758"/>
      <c r="C231" s="732"/>
      <c r="D231" s="732"/>
      <c r="E231" s="843"/>
      <c r="F231" s="806"/>
      <c r="G231" s="580"/>
      <c r="H231" s="581"/>
      <c r="I231" s="581"/>
      <c r="J231" s="579"/>
      <c r="K231" s="807"/>
      <c r="L231" s="688"/>
      <c r="M231" s="688"/>
      <c r="N231" s="688"/>
      <c r="O231" s="688"/>
      <c r="AG231" s="578"/>
      <c r="AH231" s="578"/>
      <c r="AI231" s="578"/>
      <c r="AJ231" s="578"/>
      <c r="AK231" s="578"/>
      <c r="AL231" s="579"/>
      <c r="AM231" s="580"/>
      <c r="AN231" s="581"/>
      <c r="AO231" s="581"/>
      <c r="AP231" s="579"/>
      <c r="AQ231" s="582"/>
      <c r="AR231" s="581"/>
      <c r="AS231" s="581"/>
      <c r="AT231" s="581"/>
      <c r="AU231" s="581"/>
      <c r="AV231" s="581"/>
      <c r="AW231" s="581"/>
      <c r="AX231" s="581"/>
      <c r="AY231" s="581"/>
      <c r="AZ231" s="581"/>
      <c r="BA231" s="581"/>
      <c r="BB231" s="581"/>
      <c r="BC231" s="581"/>
      <c r="BD231" s="581"/>
      <c r="BE231" s="581"/>
      <c r="BF231" s="581"/>
      <c r="BG231" s="581"/>
      <c r="BH231" s="581"/>
      <c r="BI231" s="581"/>
      <c r="BJ231" s="581"/>
      <c r="BK231" s="581"/>
      <c r="BL231" s="581"/>
      <c r="BM231" s="581"/>
      <c r="BN231" s="581"/>
      <c r="BO231" s="581"/>
      <c r="BP231" s="581"/>
      <c r="BQ231" s="581"/>
      <c r="BR231" s="581"/>
      <c r="BS231" s="581"/>
      <c r="BT231" s="581"/>
      <c r="BU231" s="581"/>
      <c r="BV231" s="581"/>
      <c r="BW231" s="581"/>
      <c r="BX231" s="581"/>
      <c r="BY231" s="581"/>
      <c r="BZ231" s="581"/>
      <c r="CA231" s="581"/>
      <c r="CB231" s="581"/>
      <c r="CC231" s="581"/>
      <c r="CD231" s="581"/>
      <c r="CE231" s="581"/>
      <c r="CF231" s="581"/>
      <c r="CG231" s="581"/>
      <c r="CH231" s="581"/>
      <c r="CI231" s="581"/>
      <c r="CJ231" s="581"/>
      <c r="CK231" s="581"/>
      <c r="CL231" s="581"/>
      <c r="CM231" s="581"/>
      <c r="CN231" s="581"/>
      <c r="CO231" s="581"/>
      <c r="CP231" s="581"/>
      <c r="CQ231" s="581"/>
      <c r="CR231" s="581"/>
      <c r="CS231" s="581"/>
      <c r="CT231" s="581"/>
      <c r="CU231" s="581"/>
      <c r="CV231" s="581"/>
      <c r="CW231" s="581"/>
      <c r="CX231" s="581"/>
      <c r="CY231" s="581"/>
      <c r="CZ231" s="581"/>
      <c r="DA231" s="581"/>
      <c r="DB231" s="581"/>
      <c r="DC231" s="581"/>
      <c r="DD231" s="581"/>
      <c r="DE231" s="581"/>
      <c r="DF231" s="581"/>
      <c r="DG231" s="581"/>
      <c r="DH231" s="581"/>
      <c r="DI231" s="581"/>
      <c r="DJ231" s="581"/>
      <c r="DK231" s="581"/>
      <c r="DL231" s="581"/>
      <c r="DM231" s="581"/>
      <c r="DN231" s="581"/>
      <c r="DO231" s="581"/>
      <c r="DP231" s="581"/>
      <c r="DQ231" s="581"/>
      <c r="DR231" s="581"/>
      <c r="DS231" s="581"/>
      <c r="DT231" s="581"/>
      <c r="DU231" s="581"/>
      <c r="DV231" s="581"/>
      <c r="DW231" s="581"/>
      <c r="DX231" s="581"/>
      <c r="DY231" s="581"/>
      <c r="DZ231" s="581"/>
      <c r="EA231" s="581"/>
      <c r="EB231" s="581"/>
      <c r="EC231" s="581"/>
      <c r="ED231" s="581"/>
      <c r="EE231" s="581"/>
      <c r="EF231" s="581"/>
      <c r="EG231" s="581"/>
      <c r="EH231" s="581"/>
      <c r="EI231" s="581"/>
      <c r="EJ231" s="581"/>
    </row>
    <row r="232" spans="1:140" ht="15">
      <c r="A232" s="624"/>
      <c r="B232" s="758"/>
      <c r="C232" s="758"/>
      <c r="D232" s="758"/>
      <c r="E232" s="849"/>
      <c r="F232" s="734"/>
      <c r="G232" s="580"/>
      <c r="H232" s="581"/>
      <c r="I232" s="581"/>
      <c r="J232" s="579"/>
      <c r="K232" s="575"/>
      <c r="L232" s="569"/>
      <c r="M232" s="569"/>
      <c r="N232" s="569"/>
      <c r="O232" s="569"/>
      <c r="AG232" s="578"/>
      <c r="AH232" s="578"/>
      <c r="AI232" s="578"/>
      <c r="AJ232" s="578"/>
      <c r="AK232" s="578"/>
      <c r="AL232" s="579"/>
      <c r="AM232" s="580"/>
      <c r="AN232" s="581"/>
      <c r="AO232" s="581"/>
      <c r="AP232" s="579"/>
      <c r="AQ232" s="582"/>
      <c r="AR232" s="581"/>
      <c r="AS232" s="581"/>
      <c r="AT232" s="581"/>
      <c r="AU232" s="581"/>
      <c r="AV232" s="581"/>
      <c r="AW232" s="581"/>
      <c r="AX232" s="581"/>
      <c r="AY232" s="581"/>
      <c r="AZ232" s="581"/>
      <c r="BA232" s="581"/>
      <c r="BB232" s="581"/>
      <c r="BC232" s="581"/>
      <c r="BD232" s="581"/>
      <c r="BE232" s="581"/>
      <c r="BF232" s="581"/>
      <c r="BG232" s="581"/>
      <c r="BH232" s="581"/>
      <c r="BI232" s="581"/>
      <c r="BJ232" s="581"/>
      <c r="BK232" s="581"/>
      <c r="BL232" s="581"/>
      <c r="BM232" s="581"/>
      <c r="BN232" s="581"/>
      <c r="BO232" s="581"/>
      <c r="BP232" s="581"/>
      <c r="BQ232" s="581"/>
      <c r="BR232" s="581"/>
      <c r="BS232" s="581"/>
      <c r="BT232" s="581"/>
      <c r="BU232" s="581"/>
      <c r="BV232" s="581"/>
      <c r="BW232" s="581"/>
      <c r="BX232" s="581"/>
      <c r="BY232" s="581"/>
      <c r="BZ232" s="581"/>
      <c r="CA232" s="581"/>
      <c r="CB232" s="581"/>
      <c r="CC232" s="581"/>
      <c r="CD232" s="581"/>
      <c r="CE232" s="581"/>
      <c r="CF232" s="581"/>
      <c r="CG232" s="581"/>
      <c r="CH232" s="581"/>
      <c r="CI232" s="581"/>
      <c r="CJ232" s="581"/>
      <c r="CK232" s="581"/>
      <c r="CL232" s="581"/>
      <c r="CM232" s="581"/>
      <c r="CN232" s="581"/>
      <c r="CO232" s="581"/>
      <c r="CP232" s="581"/>
      <c r="CQ232" s="581"/>
      <c r="CR232" s="581"/>
      <c r="CS232" s="581"/>
      <c r="CT232" s="581"/>
      <c r="CU232" s="581"/>
      <c r="CV232" s="581"/>
      <c r="CW232" s="581"/>
      <c r="CX232" s="581"/>
      <c r="CY232" s="581"/>
      <c r="CZ232" s="581"/>
      <c r="DA232" s="581"/>
      <c r="DB232" s="581"/>
      <c r="DC232" s="581"/>
      <c r="DD232" s="581"/>
      <c r="DE232" s="581"/>
      <c r="DF232" s="581"/>
      <c r="DG232" s="581"/>
      <c r="DH232" s="581"/>
      <c r="DI232" s="581"/>
      <c r="DJ232" s="581"/>
      <c r="DK232" s="581"/>
      <c r="DL232" s="581"/>
      <c r="DM232" s="581"/>
      <c r="DN232" s="581"/>
      <c r="DO232" s="581"/>
      <c r="DP232" s="581"/>
      <c r="DQ232" s="581"/>
      <c r="DR232" s="581"/>
      <c r="DS232" s="581"/>
      <c r="DT232" s="581"/>
      <c r="DU232" s="581"/>
      <c r="DV232" s="581"/>
      <c r="DW232" s="581"/>
      <c r="DX232" s="581"/>
      <c r="DY232" s="581"/>
      <c r="DZ232" s="581"/>
      <c r="EA232" s="581"/>
      <c r="EB232" s="581"/>
      <c r="EC232" s="581"/>
      <c r="ED232" s="581"/>
      <c r="EE232" s="581"/>
      <c r="EF232" s="581"/>
      <c r="EG232" s="581"/>
      <c r="EH232" s="581"/>
      <c r="EI232" s="581"/>
      <c r="EJ232" s="581"/>
    </row>
    <row r="233" spans="1:140" ht="18">
      <c r="A233" s="669" t="s">
        <v>76</v>
      </c>
      <c r="B233" s="758"/>
      <c r="C233" s="758"/>
      <c r="D233" s="758"/>
      <c r="E233" s="849"/>
      <c r="F233" s="734"/>
      <c r="G233" s="661"/>
      <c r="H233" s="662"/>
      <c r="I233" s="662"/>
      <c r="J233" s="660"/>
      <c r="K233" s="575"/>
      <c r="L233" s="569"/>
      <c r="M233" s="569"/>
      <c r="N233" s="569"/>
      <c r="O233" s="569"/>
      <c r="AG233" s="578"/>
      <c r="AH233" s="578"/>
      <c r="AI233" s="578"/>
      <c r="AJ233" s="578"/>
      <c r="AK233" s="578"/>
      <c r="AL233" s="579"/>
      <c r="AM233" s="580"/>
      <c r="AN233" s="581"/>
      <c r="AO233" s="581"/>
      <c r="AP233" s="579"/>
      <c r="AQ233" s="582"/>
      <c r="AR233" s="581"/>
      <c r="AS233" s="581"/>
      <c r="AT233" s="581"/>
      <c r="AU233" s="581"/>
      <c r="AV233" s="581"/>
      <c r="AW233" s="581"/>
      <c r="AX233" s="581"/>
      <c r="AY233" s="581"/>
      <c r="AZ233" s="581"/>
      <c r="BA233" s="581"/>
      <c r="BB233" s="581"/>
      <c r="BC233" s="581"/>
      <c r="BD233" s="581"/>
      <c r="BE233" s="581"/>
      <c r="BF233" s="581"/>
      <c r="BG233" s="581"/>
      <c r="BH233" s="581"/>
      <c r="BI233" s="581"/>
      <c r="BJ233" s="581"/>
      <c r="BK233" s="581"/>
      <c r="BL233" s="581"/>
      <c r="BM233" s="581"/>
      <c r="BN233" s="581"/>
      <c r="BO233" s="581"/>
      <c r="BP233" s="581"/>
      <c r="BQ233" s="581"/>
      <c r="BR233" s="581"/>
      <c r="BS233" s="581"/>
      <c r="BT233" s="581"/>
      <c r="BU233" s="581"/>
      <c r="BV233" s="581"/>
      <c r="BW233" s="581"/>
      <c r="BX233" s="581"/>
      <c r="BY233" s="581"/>
      <c r="BZ233" s="581"/>
      <c r="CA233" s="581"/>
      <c r="CB233" s="581"/>
      <c r="CC233" s="581"/>
      <c r="CD233" s="581"/>
      <c r="CE233" s="581"/>
      <c r="CF233" s="581"/>
      <c r="CG233" s="581"/>
      <c r="CH233" s="581"/>
      <c r="CI233" s="581"/>
      <c r="CJ233" s="581"/>
      <c r="CK233" s="581"/>
      <c r="CL233" s="581"/>
      <c r="CM233" s="581"/>
      <c r="CN233" s="581"/>
      <c r="CO233" s="581"/>
      <c r="CP233" s="581"/>
      <c r="CQ233" s="581"/>
      <c r="CR233" s="581"/>
      <c r="CS233" s="581"/>
      <c r="CT233" s="581"/>
      <c r="CU233" s="581"/>
      <c r="CV233" s="581"/>
      <c r="CW233" s="581"/>
      <c r="CX233" s="581"/>
      <c r="CY233" s="581"/>
      <c r="CZ233" s="581"/>
      <c r="DA233" s="581"/>
      <c r="DB233" s="581"/>
      <c r="DC233" s="581"/>
      <c r="DD233" s="581"/>
      <c r="DE233" s="581"/>
      <c r="DF233" s="581"/>
      <c r="DG233" s="581"/>
      <c r="DH233" s="581"/>
      <c r="DI233" s="581"/>
      <c r="DJ233" s="581"/>
      <c r="DK233" s="581"/>
      <c r="DL233" s="581"/>
      <c r="DM233" s="581"/>
      <c r="DN233" s="581"/>
      <c r="DO233" s="581"/>
      <c r="DP233" s="581"/>
      <c r="DQ233" s="581"/>
      <c r="DR233" s="581"/>
      <c r="DS233" s="581"/>
      <c r="DT233" s="581"/>
      <c r="DU233" s="581"/>
      <c r="DV233" s="581"/>
      <c r="DW233" s="581"/>
      <c r="DX233" s="581"/>
      <c r="DY233" s="581"/>
      <c r="DZ233" s="581"/>
      <c r="EA233" s="581"/>
      <c r="EB233" s="581"/>
      <c r="EC233" s="581"/>
      <c r="ED233" s="581"/>
      <c r="EE233" s="581"/>
      <c r="EF233" s="581"/>
      <c r="EG233" s="581"/>
      <c r="EH233" s="581"/>
      <c r="EI233" s="581"/>
      <c r="EJ233" s="581"/>
    </row>
    <row r="234" spans="1:140" ht="30.75">
      <c r="A234" s="557" t="s">
        <v>77</v>
      </c>
      <c r="B234" s="802"/>
      <c r="C234" s="802"/>
      <c r="D234" s="802"/>
      <c r="E234" s="850"/>
      <c r="F234" s="803"/>
      <c r="G234" s="661"/>
      <c r="H234" s="662"/>
      <c r="I234" s="662"/>
      <c r="J234" s="660"/>
      <c r="K234" s="805"/>
      <c r="L234" s="804"/>
      <c r="M234" s="804"/>
      <c r="N234" s="804"/>
      <c r="O234" s="804"/>
      <c r="AG234" s="578"/>
      <c r="AH234" s="578"/>
      <c r="AI234" s="578"/>
      <c r="AJ234" s="578"/>
      <c r="AK234" s="578"/>
      <c r="AL234" s="579"/>
      <c r="AM234" s="580"/>
      <c r="AN234" s="581"/>
      <c r="AO234" s="581"/>
      <c r="AP234" s="579"/>
      <c r="AQ234" s="582"/>
      <c r="AR234" s="581"/>
      <c r="AS234" s="581"/>
      <c r="AT234" s="581"/>
      <c r="AU234" s="581"/>
      <c r="AV234" s="581"/>
      <c r="AW234" s="581"/>
      <c r="AX234" s="581"/>
      <c r="AY234" s="581"/>
      <c r="AZ234" s="581"/>
      <c r="BA234" s="581"/>
      <c r="BB234" s="581"/>
      <c r="BC234" s="581"/>
      <c r="BD234" s="581"/>
      <c r="BE234" s="581"/>
      <c r="BF234" s="581"/>
      <c r="BG234" s="581"/>
      <c r="BH234" s="581"/>
      <c r="BI234" s="581"/>
      <c r="BJ234" s="581"/>
      <c r="BK234" s="581"/>
      <c r="BL234" s="581"/>
      <c r="BM234" s="581"/>
      <c r="BN234" s="581"/>
      <c r="BO234" s="581"/>
      <c r="BP234" s="581"/>
      <c r="BQ234" s="581"/>
      <c r="BR234" s="581"/>
      <c r="BS234" s="581"/>
      <c r="BT234" s="581"/>
      <c r="BU234" s="581"/>
      <c r="BV234" s="581"/>
      <c r="BW234" s="581"/>
      <c r="BX234" s="581"/>
      <c r="BY234" s="581"/>
      <c r="BZ234" s="581"/>
      <c r="CA234" s="581"/>
      <c r="CB234" s="581"/>
      <c r="CC234" s="581"/>
      <c r="CD234" s="581"/>
      <c r="CE234" s="581"/>
      <c r="CF234" s="581"/>
      <c r="CG234" s="581"/>
      <c r="CH234" s="581"/>
      <c r="CI234" s="581"/>
      <c r="CJ234" s="581"/>
      <c r="CK234" s="581"/>
      <c r="CL234" s="581"/>
      <c r="CM234" s="581"/>
      <c r="CN234" s="581"/>
      <c r="CO234" s="581"/>
      <c r="CP234" s="581"/>
      <c r="CQ234" s="581"/>
      <c r="CR234" s="581"/>
      <c r="CS234" s="581"/>
      <c r="CT234" s="581"/>
      <c r="CU234" s="581"/>
      <c r="CV234" s="581"/>
      <c r="CW234" s="581"/>
      <c r="CX234" s="581"/>
      <c r="CY234" s="581"/>
      <c r="CZ234" s="581"/>
      <c r="DA234" s="581"/>
      <c r="DB234" s="581"/>
      <c r="DC234" s="581"/>
      <c r="DD234" s="581"/>
      <c r="DE234" s="581"/>
      <c r="DF234" s="581"/>
      <c r="DG234" s="581"/>
      <c r="DH234" s="581"/>
      <c r="DI234" s="581"/>
      <c r="DJ234" s="581"/>
      <c r="DK234" s="581"/>
      <c r="DL234" s="581"/>
      <c r="DM234" s="581"/>
      <c r="DN234" s="581"/>
      <c r="DO234" s="581"/>
      <c r="DP234" s="581"/>
      <c r="DQ234" s="581"/>
      <c r="DR234" s="581"/>
      <c r="DS234" s="581"/>
      <c r="DT234" s="581"/>
      <c r="DU234" s="581"/>
      <c r="DV234" s="581"/>
      <c r="DW234" s="581"/>
      <c r="DX234" s="581"/>
      <c r="DY234" s="581"/>
      <c r="DZ234" s="581"/>
      <c r="EA234" s="581"/>
      <c r="EB234" s="581"/>
      <c r="EC234" s="581"/>
      <c r="ED234" s="581"/>
      <c r="EE234" s="581"/>
      <c r="EF234" s="581"/>
      <c r="EG234" s="581"/>
      <c r="EH234" s="581"/>
      <c r="EI234" s="581"/>
      <c r="EJ234" s="581"/>
    </row>
    <row r="235" spans="1:140" ht="30.75">
      <c r="A235" s="801" t="s">
        <v>890</v>
      </c>
      <c r="B235" s="758"/>
      <c r="C235" s="808" t="s">
        <v>792</v>
      </c>
      <c r="D235" s="758">
        <v>1</v>
      </c>
      <c r="E235" s="849" t="s">
        <v>350</v>
      </c>
      <c r="F235" s="863">
        <f>SUM(5000-F104)</f>
        <v>4709</v>
      </c>
      <c r="G235" s="602">
        <v>1372</v>
      </c>
      <c r="H235" s="603"/>
      <c r="I235" s="603"/>
      <c r="J235" s="601">
        <f>SUM(F235/K235)*G235</f>
        <v>6460748</v>
      </c>
      <c r="K235" s="575">
        <v>1</v>
      </c>
      <c r="L235" s="569"/>
      <c r="M235" s="569"/>
      <c r="N235" s="569"/>
      <c r="O235" s="569"/>
      <c r="AG235" s="578"/>
      <c r="AH235" s="578"/>
      <c r="AI235" s="578"/>
      <c r="AJ235" s="578"/>
      <c r="AK235" s="578"/>
      <c r="AL235" s="579"/>
      <c r="AM235" s="580"/>
      <c r="AN235" s="581"/>
      <c r="AO235" s="581"/>
      <c r="AP235" s="579"/>
      <c r="AQ235" s="582"/>
      <c r="AR235" s="581"/>
      <c r="AS235" s="581"/>
      <c r="AT235" s="581"/>
      <c r="AU235" s="581"/>
      <c r="AV235" s="581"/>
      <c r="AW235" s="581"/>
      <c r="AX235" s="581"/>
      <c r="AY235" s="581"/>
      <c r="AZ235" s="581"/>
      <c r="BA235" s="581"/>
      <c r="BB235" s="581"/>
      <c r="BC235" s="581"/>
      <c r="BD235" s="581"/>
      <c r="BE235" s="581"/>
      <c r="BF235" s="581"/>
      <c r="BG235" s="581"/>
      <c r="BH235" s="581"/>
      <c r="BI235" s="581"/>
      <c r="BJ235" s="581"/>
      <c r="BK235" s="581"/>
      <c r="BL235" s="581"/>
      <c r="BM235" s="581"/>
      <c r="BN235" s="581"/>
      <c r="BO235" s="581"/>
      <c r="BP235" s="581"/>
      <c r="BQ235" s="581"/>
      <c r="BR235" s="581"/>
      <c r="BS235" s="581"/>
      <c r="BT235" s="581"/>
      <c r="BU235" s="581"/>
      <c r="BV235" s="581"/>
      <c r="BW235" s="581"/>
      <c r="BX235" s="581"/>
      <c r="BY235" s="581"/>
      <c r="BZ235" s="581"/>
      <c r="CA235" s="581"/>
      <c r="CB235" s="581"/>
      <c r="CC235" s="581"/>
      <c r="CD235" s="581"/>
      <c r="CE235" s="581"/>
      <c r="CF235" s="581"/>
      <c r="CG235" s="581"/>
      <c r="CH235" s="581"/>
      <c r="CI235" s="581"/>
      <c r="CJ235" s="581"/>
      <c r="CK235" s="581"/>
      <c r="CL235" s="581"/>
      <c r="CM235" s="581"/>
      <c r="CN235" s="581"/>
      <c r="CO235" s="581"/>
      <c r="CP235" s="581"/>
      <c r="CQ235" s="581"/>
      <c r="CR235" s="581"/>
      <c r="CS235" s="581"/>
      <c r="CT235" s="581"/>
      <c r="CU235" s="581"/>
      <c r="CV235" s="581"/>
      <c r="CW235" s="581"/>
      <c r="CX235" s="581"/>
      <c r="CY235" s="581"/>
      <c r="CZ235" s="581"/>
      <c r="DA235" s="581"/>
      <c r="DB235" s="581"/>
      <c r="DC235" s="581"/>
      <c r="DD235" s="581"/>
      <c r="DE235" s="581"/>
      <c r="DF235" s="581"/>
      <c r="DG235" s="581"/>
      <c r="DH235" s="581"/>
      <c r="DI235" s="581"/>
      <c r="DJ235" s="581"/>
      <c r="DK235" s="581"/>
      <c r="DL235" s="581"/>
      <c r="DM235" s="581"/>
      <c r="DN235" s="581"/>
      <c r="DO235" s="581"/>
      <c r="DP235" s="581"/>
      <c r="DQ235" s="581"/>
      <c r="DR235" s="581"/>
      <c r="DS235" s="581"/>
      <c r="DT235" s="581"/>
      <c r="DU235" s="581"/>
      <c r="DV235" s="581"/>
      <c r="DW235" s="581"/>
      <c r="DX235" s="581"/>
      <c r="DY235" s="581"/>
      <c r="DZ235" s="581"/>
      <c r="EA235" s="581"/>
      <c r="EB235" s="581"/>
      <c r="EC235" s="581"/>
      <c r="ED235" s="581"/>
      <c r="EE235" s="581"/>
      <c r="EF235" s="581"/>
      <c r="EG235" s="581"/>
      <c r="EH235" s="581"/>
      <c r="EI235" s="581"/>
      <c r="EJ235" s="581"/>
    </row>
    <row r="236" spans="1:140" ht="15">
      <c r="A236" s="624"/>
      <c r="B236" s="760"/>
      <c r="C236" s="760"/>
      <c r="D236" s="758"/>
      <c r="E236" s="849"/>
      <c r="F236" s="734"/>
      <c r="G236" s="816"/>
      <c r="H236" s="817"/>
      <c r="I236" s="817"/>
      <c r="J236" s="818"/>
      <c r="K236" s="575"/>
      <c r="L236" s="569"/>
      <c r="M236" s="569"/>
      <c r="N236" s="569"/>
      <c r="O236" s="569"/>
      <c r="AG236" s="578"/>
      <c r="AH236" s="578"/>
      <c r="AI236" s="578"/>
      <c r="AJ236" s="578"/>
      <c r="AK236" s="578"/>
      <c r="AL236" s="579"/>
      <c r="AM236" s="580"/>
      <c r="AN236" s="581"/>
      <c r="AO236" s="581"/>
      <c r="AP236" s="579"/>
      <c r="AQ236" s="582"/>
      <c r="AR236" s="581"/>
      <c r="AS236" s="581"/>
      <c r="AT236" s="581"/>
      <c r="AU236" s="581"/>
      <c r="AV236" s="581"/>
      <c r="AW236" s="581"/>
      <c r="AX236" s="581"/>
      <c r="AY236" s="581"/>
      <c r="AZ236" s="581"/>
      <c r="BA236" s="581"/>
      <c r="BB236" s="581"/>
      <c r="BC236" s="581"/>
      <c r="BD236" s="581"/>
      <c r="BE236" s="581"/>
      <c r="BF236" s="581"/>
      <c r="BG236" s="581"/>
      <c r="BH236" s="581"/>
      <c r="BI236" s="581"/>
      <c r="BJ236" s="581"/>
      <c r="BK236" s="581"/>
      <c r="BL236" s="581"/>
      <c r="BM236" s="581"/>
      <c r="BN236" s="581"/>
      <c r="BO236" s="581"/>
      <c r="BP236" s="581"/>
      <c r="BQ236" s="581"/>
      <c r="BR236" s="581"/>
      <c r="BS236" s="581"/>
      <c r="BT236" s="581"/>
      <c r="BU236" s="581"/>
      <c r="BV236" s="581"/>
      <c r="BW236" s="581"/>
      <c r="BX236" s="581"/>
      <c r="BY236" s="581"/>
      <c r="BZ236" s="581"/>
      <c r="CA236" s="581"/>
      <c r="CB236" s="581"/>
      <c r="CC236" s="581"/>
      <c r="CD236" s="581"/>
      <c r="CE236" s="581"/>
      <c r="CF236" s="581"/>
      <c r="CG236" s="581"/>
      <c r="CH236" s="581"/>
      <c r="CI236" s="581"/>
      <c r="CJ236" s="581"/>
      <c r="CK236" s="581"/>
      <c r="CL236" s="581"/>
      <c r="CM236" s="581"/>
      <c r="CN236" s="581"/>
      <c r="CO236" s="581"/>
      <c r="CP236" s="581"/>
      <c r="CQ236" s="581"/>
      <c r="CR236" s="581"/>
      <c r="CS236" s="581"/>
      <c r="CT236" s="581"/>
      <c r="CU236" s="581"/>
      <c r="CV236" s="581"/>
      <c r="CW236" s="581"/>
      <c r="CX236" s="581"/>
      <c r="CY236" s="581"/>
      <c r="CZ236" s="581"/>
      <c r="DA236" s="581"/>
      <c r="DB236" s="581"/>
      <c r="DC236" s="581"/>
      <c r="DD236" s="581"/>
      <c r="DE236" s="581"/>
      <c r="DF236" s="581"/>
      <c r="DG236" s="581"/>
      <c r="DH236" s="581"/>
      <c r="DI236" s="581"/>
      <c r="DJ236" s="581"/>
      <c r="DK236" s="581"/>
      <c r="DL236" s="581"/>
      <c r="DM236" s="581"/>
      <c r="DN236" s="581"/>
      <c r="DO236" s="581"/>
      <c r="DP236" s="581"/>
      <c r="DQ236" s="581"/>
      <c r="DR236" s="581"/>
      <c r="DS236" s="581"/>
      <c r="DT236" s="581"/>
      <c r="DU236" s="581"/>
      <c r="DV236" s="581"/>
      <c r="DW236" s="581"/>
      <c r="DX236" s="581"/>
      <c r="DY236" s="581"/>
      <c r="DZ236" s="581"/>
      <c r="EA236" s="581"/>
      <c r="EB236" s="581"/>
      <c r="EC236" s="581"/>
      <c r="ED236" s="581"/>
      <c r="EE236" s="581"/>
      <c r="EF236" s="581"/>
      <c r="EG236" s="581"/>
      <c r="EH236" s="581"/>
      <c r="EI236" s="581"/>
      <c r="EJ236" s="581"/>
    </row>
    <row r="237" spans="1:140" ht="15">
      <c r="A237" s="557" t="s">
        <v>86</v>
      </c>
      <c r="B237" s="758"/>
      <c r="C237" s="758"/>
      <c r="D237" s="758"/>
      <c r="E237" s="849"/>
      <c r="F237" s="734"/>
      <c r="G237" s="816"/>
      <c r="H237" s="817"/>
      <c r="I237" s="817"/>
      <c r="J237" s="818"/>
      <c r="K237" s="575"/>
      <c r="L237" s="569"/>
      <c r="M237" s="569"/>
      <c r="N237" s="569"/>
      <c r="O237" s="569"/>
      <c r="AG237" s="578"/>
      <c r="AH237" s="578"/>
      <c r="AI237" s="578"/>
      <c r="AJ237" s="578"/>
      <c r="AK237" s="578"/>
      <c r="AL237" s="579"/>
      <c r="AM237" s="580"/>
      <c r="AN237" s="581"/>
      <c r="AO237" s="581"/>
      <c r="AP237" s="579"/>
      <c r="AQ237" s="582"/>
      <c r="AR237" s="581"/>
      <c r="AS237" s="581"/>
      <c r="AT237" s="581"/>
      <c r="AU237" s="581"/>
      <c r="AV237" s="581"/>
      <c r="AW237" s="581"/>
      <c r="AX237" s="581"/>
      <c r="AY237" s="581"/>
      <c r="AZ237" s="581"/>
      <c r="BA237" s="581"/>
      <c r="BB237" s="581"/>
      <c r="BC237" s="581"/>
      <c r="BD237" s="581"/>
      <c r="BE237" s="581"/>
      <c r="BF237" s="581"/>
      <c r="BG237" s="581"/>
      <c r="BH237" s="581"/>
      <c r="BI237" s="581"/>
      <c r="BJ237" s="581"/>
      <c r="BK237" s="581"/>
      <c r="BL237" s="581"/>
      <c r="BM237" s="581"/>
      <c r="BN237" s="581"/>
      <c r="BO237" s="581"/>
      <c r="BP237" s="581"/>
      <c r="BQ237" s="581"/>
      <c r="BR237" s="581"/>
      <c r="BS237" s="581"/>
      <c r="BT237" s="581"/>
      <c r="BU237" s="581"/>
      <c r="BV237" s="581"/>
      <c r="BW237" s="581"/>
      <c r="BX237" s="581"/>
      <c r="BY237" s="581"/>
      <c r="BZ237" s="581"/>
      <c r="CA237" s="581"/>
      <c r="CB237" s="581"/>
      <c r="CC237" s="581"/>
      <c r="CD237" s="581"/>
      <c r="CE237" s="581"/>
      <c r="CF237" s="581"/>
      <c r="CG237" s="581"/>
      <c r="CH237" s="581"/>
      <c r="CI237" s="581"/>
      <c r="CJ237" s="581"/>
      <c r="CK237" s="581"/>
      <c r="CL237" s="581"/>
      <c r="CM237" s="581"/>
      <c r="CN237" s="581"/>
      <c r="CO237" s="581"/>
      <c r="CP237" s="581"/>
      <c r="CQ237" s="581"/>
      <c r="CR237" s="581"/>
      <c r="CS237" s="581"/>
      <c r="CT237" s="581"/>
      <c r="CU237" s="581"/>
      <c r="CV237" s="581"/>
      <c r="CW237" s="581"/>
      <c r="CX237" s="581"/>
      <c r="CY237" s="581"/>
      <c r="CZ237" s="581"/>
      <c r="DA237" s="581"/>
      <c r="DB237" s="581"/>
      <c r="DC237" s="581"/>
      <c r="DD237" s="581"/>
      <c r="DE237" s="581"/>
      <c r="DF237" s="581"/>
      <c r="DG237" s="581"/>
      <c r="DH237" s="581"/>
      <c r="DI237" s="581"/>
      <c r="DJ237" s="581"/>
      <c r="DK237" s="581"/>
      <c r="DL237" s="581"/>
      <c r="DM237" s="581"/>
      <c r="DN237" s="581"/>
      <c r="DO237" s="581"/>
      <c r="DP237" s="581"/>
      <c r="DQ237" s="581"/>
      <c r="DR237" s="581"/>
      <c r="DS237" s="581"/>
      <c r="DT237" s="581"/>
      <c r="DU237" s="581"/>
      <c r="DV237" s="581"/>
      <c r="DW237" s="581"/>
      <c r="DX237" s="581"/>
      <c r="DY237" s="581"/>
      <c r="DZ237" s="581"/>
      <c r="EA237" s="581"/>
      <c r="EB237" s="581"/>
      <c r="EC237" s="581"/>
      <c r="ED237" s="581"/>
      <c r="EE237" s="581"/>
      <c r="EF237" s="581"/>
      <c r="EG237" s="581"/>
      <c r="EH237" s="581"/>
      <c r="EI237" s="581"/>
      <c r="EJ237" s="581"/>
    </row>
    <row r="238" spans="1:140" ht="25.5">
      <c r="A238" s="624" t="s">
        <v>932</v>
      </c>
      <c r="B238" s="758"/>
      <c r="C238" s="758"/>
      <c r="D238" s="758"/>
      <c r="E238" s="849"/>
      <c r="F238" s="734"/>
      <c r="G238" s="816"/>
      <c r="H238" s="817"/>
      <c r="I238" s="817"/>
      <c r="J238" s="818"/>
      <c r="K238" s="575"/>
      <c r="L238" s="569"/>
      <c r="M238" s="569"/>
      <c r="N238" s="569"/>
      <c r="O238" s="569"/>
      <c r="AG238" s="578"/>
      <c r="AH238" s="578"/>
      <c r="AI238" s="578"/>
      <c r="AJ238" s="578"/>
      <c r="AK238" s="578"/>
      <c r="AL238" s="579"/>
      <c r="AM238" s="580"/>
      <c r="AN238" s="581"/>
      <c r="AO238" s="581"/>
      <c r="AP238" s="579"/>
      <c r="AQ238" s="582"/>
      <c r="AR238" s="581"/>
      <c r="AS238" s="581"/>
      <c r="AT238" s="581"/>
      <c r="AU238" s="581"/>
      <c r="AV238" s="581"/>
      <c r="AW238" s="581"/>
      <c r="AX238" s="581"/>
      <c r="AY238" s="581"/>
      <c r="AZ238" s="581"/>
      <c r="BA238" s="581"/>
      <c r="BB238" s="581"/>
      <c r="BC238" s="581"/>
      <c r="BD238" s="581"/>
      <c r="BE238" s="581"/>
      <c r="BF238" s="581"/>
      <c r="BG238" s="581"/>
      <c r="BH238" s="581"/>
      <c r="BI238" s="581"/>
      <c r="BJ238" s="581"/>
      <c r="BK238" s="581"/>
      <c r="BL238" s="581"/>
      <c r="BM238" s="581"/>
      <c r="BN238" s="581"/>
      <c r="BO238" s="581"/>
      <c r="BP238" s="581"/>
      <c r="BQ238" s="581"/>
      <c r="BR238" s="581"/>
      <c r="BS238" s="581"/>
      <c r="BT238" s="581"/>
      <c r="BU238" s="581"/>
      <c r="BV238" s="581"/>
      <c r="BW238" s="581"/>
      <c r="BX238" s="581"/>
      <c r="BY238" s="581"/>
      <c r="BZ238" s="581"/>
      <c r="CA238" s="581"/>
      <c r="CB238" s="581"/>
      <c r="CC238" s="581"/>
      <c r="CD238" s="581"/>
      <c r="CE238" s="581"/>
      <c r="CF238" s="581"/>
      <c r="CG238" s="581"/>
      <c r="CH238" s="581"/>
      <c r="CI238" s="581"/>
      <c r="CJ238" s="581"/>
      <c r="CK238" s="581"/>
      <c r="CL238" s="581"/>
      <c r="CM238" s="581"/>
      <c r="CN238" s="581"/>
      <c r="CO238" s="581"/>
      <c r="CP238" s="581"/>
      <c r="CQ238" s="581"/>
      <c r="CR238" s="581"/>
      <c r="CS238" s="581"/>
      <c r="CT238" s="581"/>
      <c r="CU238" s="581"/>
      <c r="CV238" s="581"/>
      <c r="CW238" s="581"/>
      <c r="CX238" s="581"/>
      <c r="CY238" s="581"/>
      <c r="CZ238" s="581"/>
      <c r="DA238" s="581"/>
      <c r="DB238" s="581"/>
      <c r="DC238" s="581"/>
      <c r="DD238" s="581"/>
      <c r="DE238" s="581"/>
      <c r="DF238" s="581"/>
      <c r="DG238" s="581"/>
      <c r="DH238" s="581"/>
      <c r="DI238" s="581"/>
      <c r="DJ238" s="581"/>
      <c r="DK238" s="581"/>
      <c r="DL238" s="581"/>
      <c r="DM238" s="581"/>
      <c r="DN238" s="581"/>
      <c r="DO238" s="581"/>
      <c r="DP238" s="581"/>
      <c r="DQ238" s="581"/>
      <c r="DR238" s="581"/>
      <c r="DS238" s="581"/>
      <c r="DT238" s="581"/>
      <c r="DU238" s="581"/>
      <c r="DV238" s="581"/>
      <c r="DW238" s="581"/>
      <c r="DX238" s="581"/>
      <c r="DY238" s="581"/>
      <c r="DZ238" s="581"/>
      <c r="EA238" s="581"/>
      <c r="EB238" s="581"/>
      <c r="EC238" s="581"/>
      <c r="ED238" s="581"/>
      <c r="EE238" s="581"/>
      <c r="EF238" s="581"/>
      <c r="EG238" s="581"/>
      <c r="EH238" s="581"/>
      <c r="EI238" s="581"/>
      <c r="EJ238" s="581"/>
    </row>
    <row r="239" spans="1:140" ht="61.5">
      <c r="A239" s="801" t="s">
        <v>896</v>
      </c>
      <c r="B239" s="758" t="s">
        <v>824</v>
      </c>
      <c r="C239" s="758" t="s">
        <v>825</v>
      </c>
      <c r="D239" s="758">
        <v>1</v>
      </c>
      <c r="E239" s="849" t="s">
        <v>350</v>
      </c>
      <c r="F239" s="601">
        <f>SUM(J239/G239)</f>
        <v>17493.2559745922</v>
      </c>
      <c r="G239" s="602">
        <v>1372</v>
      </c>
      <c r="H239" s="603"/>
      <c r="I239" s="603"/>
      <c r="J239" s="601">
        <f>(91419179-SUM(J114:J118))</f>
        <v>24000747.1971405</v>
      </c>
      <c r="K239" s="575">
        <v>1</v>
      </c>
      <c r="L239" s="569"/>
      <c r="M239" s="569"/>
      <c r="N239" s="569"/>
      <c r="O239" s="569"/>
      <c r="AG239" s="578"/>
      <c r="AH239" s="578"/>
      <c r="AI239" s="578"/>
      <c r="AJ239" s="578"/>
      <c r="AK239" s="578"/>
      <c r="AL239" s="579"/>
      <c r="AM239" s="580"/>
      <c r="AN239" s="581"/>
      <c r="AO239" s="581"/>
      <c r="AP239" s="579"/>
      <c r="AQ239" s="582"/>
      <c r="AR239" s="581"/>
      <c r="AS239" s="581"/>
      <c r="AT239" s="581"/>
      <c r="AU239" s="581"/>
      <c r="AV239" s="581"/>
      <c r="AW239" s="581"/>
      <c r="AX239" s="581"/>
      <c r="AY239" s="581"/>
      <c r="AZ239" s="581"/>
      <c r="BA239" s="581"/>
      <c r="BB239" s="581"/>
      <c r="BC239" s="581"/>
      <c r="BD239" s="581"/>
      <c r="BE239" s="581"/>
      <c r="BF239" s="581"/>
      <c r="BG239" s="581"/>
      <c r="BH239" s="581"/>
      <c r="BI239" s="581"/>
      <c r="BJ239" s="581"/>
      <c r="BK239" s="581"/>
      <c r="BL239" s="581"/>
      <c r="BM239" s="581"/>
      <c r="BN239" s="581"/>
      <c r="BO239" s="581"/>
      <c r="BP239" s="581"/>
      <c r="BQ239" s="581"/>
      <c r="BR239" s="581"/>
      <c r="BS239" s="581"/>
      <c r="BT239" s="581"/>
      <c r="BU239" s="581"/>
      <c r="BV239" s="581"/>
      <c r="BW239" s="581"/>
      <c r="BX239" s="581"/>
      <c r="BY239" s="581"/>
      <c r="BZ239" s="581"/>
      <c r="CA239" s="581"/>
      <c r="CB239" s="581"/>
      <c r="CC239" s="581"/>
      <c r="CD239" s="581"/>
      <c r="CE239" s="581"/>
      <c r="CF239" s="581"/>
      <c r="CG239" s="581"/>
      <c r="CH239" s="581"/>
      <c r="CI239" s="581"/>
      <c r="CJ239" s="581"/>
      <c r="CK239" s="581"/>
      <c r="CL239" s="581"/>
      <c r="CM239" s="581"/>
      <c r="CN239" s="581"/>
      <c r="CO239" s="581"/>
      <c r="CP239" s="581"/>
      <c r="CQ239" s="581"/>
      <c r="CR239" s="581"/>
      <c r="CS239" s="581"/>
      <c r="CT239" s="581"/>
      <c r="CU239" s="581"/>
      <c r="CV239" s="581"/>
      <c r="CW239" s="581"/>
      <c r="CX239" s="581"/>
      <c r="CY239" s="581"/>
      <c r="CZ239" s="581"/>
      <c r="DA239" s="581"/>
      <c r="DB239" s="581"/>
      <c r="DC239" s="581"/>
      <c r="DD239" s="581"/>
      <c r="DE239" s="581"/>
      <c r="DF239" s="581"/>
      <c r="DG239" s="581"/>
      <c r="DH239" s="581"/>
      <c r="DI239" s="581"/>
      <c r="DJ239" s="581"/>
      <c r="DK239" s="581"/>
      <c r="DL239" s="581"/>
      <c r="DM239" s="581"/>
      <c r="DN239" s="581"/>
      <c r="DO239" s="581"/>
      <c r="DP239" s="581"/>
      <c r="DQ239" s="581"/>
      <c r="DR239" s="581"/>
      <c r="DS239" s="581"/>
      <c r="DT239" s="581"/>
      <c r="DU239" s="581"/>
      <c r="DV239" s="581"/>
      <c r="DW239" s="581"/>
      <c r="DX239" s="581"/>
      <c r="DY239" s="581"/>
      <c r="DZ239" s="581"/>
      <c r="EA239" s="581"/>
      <c r="EB239" s="581"/>
      <c r="EC239" s="581"/>
      <c r="ED239" s="581"/>
      <c r="EE239" s="581"/>
      <c r="EF239" s="581"/>
      <c r="EG239" s="581"/>
      <c r="EH239" s="581"/>
      <c r="EI239" s="581"/>
      <c r="EJ239" s="581"/>
    </row>
    <row r="240" spans="1:140" ht="30.75">
      <c r="A240" s="801" t="s">
        <v>895</v>
      </c>
      <c r="B240" s="758"/>
      <c r="C240" s="758"/>
      <c r="D240" s="758"/>
      <c r="E240" s="849"/>
      <c r="F240" s="734"/>
      <c r="G240" s="602"/>
      <c r="H240" s="603"/>
      <c r="I240" s="603"/>
      <c r="J240" s="601"/>
      <c r="K240" s="575"/>
      <c r="L240" s="569"/>
      <c r="M240" s="569"/>
      <c r="N240" s="569"/>
      <c r="O240" s="569"/>
      <c r="AG240" s="578"/>
      <c r="AH240" s="578"/>
      <c r="AI240" s="578"/>
      <c r="AJ240" s="578"/>
      <c r="AK240" s="578"/>
      <c r="AL240" s="579"/>
      <c r="AM240" s="580"/>
      <c r="AN240" s="581"/>
      <c r="AO240" s="581"/>
      <c r="AP240" s="579"/>
      <c r="AQ240" s="582"/>
      <c r="AR240" s="581"/>
      <c r="AS240" s="581"/>
      <c r="AT240" s="581"/>
      <c r="AU240" s="581"/>
      <c r="AV240" s="581"/>
      <c r="AW240" s="581"/>
      <c r="AX240" s="581"/>
      <c r="AY240" s="581"/>
      <c r="AZ240" s="581"/>
      <c r="BA240" s="581"/>
      <c r="BB240" s="581"/>
      <c r="BC240" s="581"/>
      <c r="BD240" s="581"/>
      <c r="BE240" s="581"/>
      <c r="BF240" s="581"/>
      <c r="BG240" s="581"/>
      <c r="BH240" s="581"/>
      <c r="BI240" s="581"/>
      <c r="BJ240" s="581"/>
      <c r="BK240" s="581"/>
      <c r="BL240" s="581"/>
      <c r="BM240" s="581"/>
      <c r="BN240" s="581"/>
      <c r="BO240" s="581"/>
      <c r="BP240" s="581"/>
      <c r="BQ240" s="581"/>
      <c r="BR240" s="581"/>
      <c r="BS240" s="581"/>
      <c r="BT240" s="581"/>
      <c r="BU240" s="581"/>
      <c r="BV240" s="581"/>
      <c r="BW240" s="581"/>
      <c r="BX240" s="581"/>
      <c r="BY240" s="581"/>
      <c r="BZ240" s="581"/>
      <c r="CA240" s="581"/>
      <c r="CB240" s="581"/>
      <c r="CC240" s="581"/>
      <c r="CD240" s="581"/>
      <c r="CE240" s="581"/>
      <c r="CF240" s="581"/>
      <c r="CG240" s="581"/>
      <c r="CH240" s="581"/>
      <c r="CI240" s="581"/>
      <c r="CJ240" s="581"/>
      <c r="CK240" s="581"/>
      <c r="CL240" s="581"/>
      <c r="CM240" s="581"/>
      <c r="CN240" s="581"/>
      <c r="CO240" s="581"/>
      <c r="CP240" s="581"/>
      <c r="CQ240" s="581"/>
      <c r="CR240" s="581"/>
      <c r="CS240" s="581"/>
      <c r="CT240" s="581"/>
      <c r="CU240" s="581"/>
      <c r="CV240" s="581"/>
      <c r="CW240" s="581"/>
      <c r="CX240" s="581"/>
      <c r="CY240" s="581"/>
      <c r="CZ240" s="581"/>
      <c r="DA240" s="581"/>
      <c r="DB240" s="581"/>
      <c r="DC240" s="581"/>
      <c r="DD240" s="581"/>
      <c r="DE240" s="581"/>
      <c r="DF240" s="581"/>
      <c r="DG240" s="581"/>
      <c r="DH240" s="581"/>
      <c r="DI240" s="581"/>
      <c r="DJ240" s="581"/>
      <c r="DK240" s="581"/>
      <c r="DL240" s="581"/>
      <c r="DM240" s="581"/>
      <c r="DN240" s="581"/>
      <c r="DO240" s="581"/>
      <c r="DP240" s="581"/>
      <c r="DQ240" s="581"/>
      <c r="DR240" s="581"/>
      <c r="DS240" s="581"/>
      <c r="DT240" s="581"/>
      <c r="DU240" s="581"/>
      <c r="DV240" s="581"/>
      <c r="DW240" s="581"/>
      <c r="DX240" s="581"/>
      <c r="DY240" s="581"/>
      <c r="DZ240" s="581"/>
      <c r="EA240" s="581"/>
      <c r="EB240" s="581"/>
      <c r="EC240" s="581"/>
      <c r="ED240" s="581"/>
      <c r="EE240" s="581"/>
      <c r="EF240" s="581"/>
      <c r="EG240" s="581"/>
      <c r="EH240" s="581"/>
      <c r="EI240" s="581"/>
      <c r="EJ240" s="581"/>
    </row>
    <row r="241" spans="1:140" ht="15">
      <c r="A241" s="811"/>
      <c r="B241" s="758"/>
      <c r="C241" s="732"/>
      <c r="D241" s="732"/>
      <c r="E241" s="843"/>
      <c r="F241" s="806"/>
      <c r="G241" s="597"/>
      <c r="H241" s="544"/>
      <c r="I241" s="544"/>
      <c r="J241" s="596"/>
      <c r="K241" s="807"/>
      <c r="L241" s="688"/>
      <c r="M241" s="688"/>
      <c r="N241" s="688"/>
      <c r="O241" s="688"/>
      <c r="AG241" s="578"/>
      <c r="AH241" s="578"/>
      <c r="AI241" s="578"/>
      <c r="AJ241" s="578"/>
      <c r="AK241" s="578"/>
      <c r="AL241" s="579"/>
      <c r="AM241" s="580"/>
      <c r="AN241" s="581"/>
      <c r="AO241" s="581"/>
      <c r="AP241" s="579"/>
      <c r="AQ241" s="582"/>
      <c r="AR241" s="581"/>
      <c r="AS241" s="581"/>
      <c r="AT241" s="581"/>
      <c r="AU241" s="581"/>
      <c r="AV241" s="581"/>
      <c r="AW241" s="581"/>
      <c r="AX241" s="581"/>
      <c r="AY241" s="581"/>
      <c r="AZ241" s="581"/>
      <c r="BA241" s="581"/>
      <c r="BB241" s="581"/>
      <c r="BC241" s="581"/>
      <c r="BD241" s="581"/>
      <c r="BE241" s="581"/>
      <c r="BF241" s="581"/>
      <c r="BG241" s="581"/>
      <c r="BH241" s="581"/>
      <c r="BI241" s="581"/>
      <c r="BJ241" s="581"/>
      <c r="BK241" s="581"/>
      <c r="BL241" s="581"/>
      <c r="BM241" s="581"/>
      <c r="BN241" s="581"/>
      <c r="BO241" s="581"/>
      <c r="BP241" s="581"/>
      <c r="BQ241" s="581"/>
      <c r="BR241" s="581"/>
      <c r="BS241" s="581"/>
      <c r="BT241" s="581"/>
      <c r="BU241" s="581"/>
      <c r="BV241" s="581"/>
      <c r="BW241" s="581"/>
      <c r="BX241" s="581"/>
      <c r="BY241" s="581"/>
      <c r="BZ241" s="581"/>
      <c r="CA241" s="581"/>
      <c r="CB241" s="581"/>
      <c r="CC241" s="581"/>
      <c r="CD241" s="581"/>
      <c r="CE241" s="581"/>
      <c r="CF241" s="581"/>
      <c r="CG241" s="581"/>
      <c r="CH241" s="581"/>
      <c r="CI241" s="581"/>
      <c r="CJ241" s="581"/>
      <c r="CK241" s="581"/>
      <c r="CL241" s="581"/>
      <c r="CM241" s="581"/>
      <c r="CN241" s="581"/>
      <c r="CO241" s="581"/>
      <c r="CP241" s="581"/>
      <c r="CQ241" s="581"/>
      <c r="CR241" s="581"/>
      <c r="CS241" s="581"/>
      <c r="CT241" s="581"/>
      <c r="CU241" s="581"/>
      <c r="CV241" s="581"/>
      <c r="CW241" s="581"/>
      <c r="CX241" s="581"/>
      <c r="CY241" s="581"/>
      <c r="CZ241" s="581"/>
      <c r="DA241" s="581"/>
      <c r="DB241" s="581"/>
      <c r="DC241" s="581"/>
      <c r="DD241" s="581"/>
      <c r="DE241" s="581"/>
      <c r="DF241" s="581"/>
      <c r="DG241" s="581"/>
      <c r="DH241" s="581"/>
      <c r="DI241" s="581"/>
      <c r="DJ241" s="581"/>
      <c r="DK241" s="581"/>
      <c r="DL241" s="581"/>
      <c r="DM241" s="581"/>
      <c r="DN241" s="581"/>
      <c r="DO241" s="581"/>
      <c r="DP241" s="581"/>
      <c r="DQ241" s="581"/>
      <c r="DR241" s="581"/>
      <c r="DS241" s="581"/>
      <c r="DT241" s="581"/>
      <c r="DU241" s="581"/>
      <c r="DV241" s="581"/>
      <c r="DW241" s="581"/>
      <c r="DX241" s="581"/>
      <c r="DY241" s="581"/>
      <c r="DZ241" s="581"/>
      <c r="EA241" s="581"/>
      <c r="EB241" s="581"/>
      <c r="EC241" s="581"/>
      <c r="ED241" s="581"/>
      <c r="EE241" s="581"/>
      <c r="EF241" s="581"/>
      <c r="EG241" s="581"/>
      <c r="EH241" s="581"/>
      <c r="EI241" s="581"/>
      <c r="EJ241" s="581"/>
    </row>
    <row r="242" spans="1:140" ht="15">
      <c r="A242" s="624" t="s">
        <v>94</v>
      </c>
      <c r="B242" s="758"/>
      <c r="C242" s="732"/>
      <c r="D242" s="732"/>
      <c r="E242" s="843"/>
      <c r="F242" s="806"/>
      <c r="G242" s="597"/>
      <c r="H242" s="544"/>
      <c r="I242" s="544"/>
      <c r="J242" s="596"/>
      <c r="K242" s="807"/>
      <c r="L242" s="688"/>
      <c r="M242" s="688"/>
      <c r="N242" s="688"/>
      <c r="O242" s="688"/>
      <c r="AG242" s="578"/>
      <c r="AH242" s="578"/>
      <c r="AI242" s="578"/>
      <c r="AJ242" s="578"/>
      <c r="AK242" s="578"/>
      <c r="AL242" s="579"/>
      <c r="AM242" s="580"/>
      <c r="AN242" s="581"/>
      <c r="AO242" s="581"/>
      <c r="AP242" s="579"/>
      <c r="AQ242" s="582"/>
      <c r="AR242" s="581"/>
      <c r="AS242" s="581"/>
      <c r="AT242" s="581"/>
      <c r="AU242" s="581"/>
      <c r="AV242" s="581"/>
      <c r="AW242" s="581"/>
      <c r="AX242" s="581"/>
      <c r="AY242" s="581"/>
      <c r="AZ242" s="581"/>
      <c r="BA242" s="581"/>
      <c r="BB242" s="581"/>
      <c r="BC242" s="581"/>
      <c r="BD242" s="581"/>
      <c r="BE242" s="581"/>
      <c r="BF242" s="581"/>
      <c r="BG242" s="581"/>
      <c r="BH242" s="581"/>
      <c r="BI242" s="581"/>
      <c r="BJ242" s="581"/>
      <c r="BK242" s="581"/>
      <c r="BL242" s="581"/>
      <c r="BM242" s="581"/>
      <c r="BN242" s="581"/>
      <c r="BO242" s="581"/>
      <c r="BP242" s="581"/>
      <c r="BQ242" s="581"/>
      <c r="BR242" s="581"/>
      <c r="BS242" s="581"/>
      <c r="BT242" s="581"/>
      <c r="BU242" s="581"/>
      <c r="BV242" s="581"/>
      <c r="BW242" s="581"/>
      <c r="BX242" s="581"/>
      <c r="BY242" s="581"/>
      <c r="BZ242" s="581"/>
      <c r="CA242" s="581"/>
      <c r="CB242" s="581"/>
      <c r="CC242" s="581"/>
      <c r="CD242" s="581"/>
      <c r="CE242" s="581"/>
      <c r="CF242" s="581"/>
      <c r="CG242" s="581"/>
      <c r="CH242" s="581"/>
      <c r="CI242" s="581"/>
      <c r="CJ242" s="581"/>
      <c r="CK242" s="581"/>
      <c r="CL242" s="581"/>
      <c r="CM242" s="581"/>
      <c r="CN242" s="581"/>
      <c r="CO242" s="581"/>
      <c r="CP242" s="581"/>
      <c r="CQ242" s="581"/>
      <c r="CR242" s="581"/>
      <c r="CS242" s="581"/>
      <c r="CT242" s="581"/>
      <c r="CU242" s="581"/>
      <c r="CV242" s="581"/>
      <c r="CW242" s="581"/>
      <c r="CX242" s="581"/>
      <c r="CY242" s="581"/>
      <c r="CZ242" s="581"/>
      <c r="DA242" s="581"/>
      <c r="DB242" s="581"/>
      <c r="DC242" s="581"/>
      <c r="DD242" s="581"/>
      <c r="DE242" s="581"/>
      <c r="DF242" s="581"/>
      <c r="DG242" s="581"/>
      <c r="DH242" s="581"/>
      <c r="DI242" s="581"/>
      <c r="DJ242" s="581"/>
      <c r="DK242" s="581"/>
      <c r="DL242" s="581"/>
      <c r="DM242" s="581"/>
      <c r="DN242" s="581"/>
      <c r="DO242" s="581"/>
      <c r="DP242" s="581"/>
      <c r="DQ242" s="581"/>
      <c r="DR242" s="581"/>
      <c r="DS242" s="581"/>
      <c r="DT242" s="581"/>
      <c r="DU242" s="581"/>
      <c r="DV242" s="581"/>
      <c r="DW242" s="581"/>
      <c r="DX242" s="581"/>
      <c r="DY242" s="581"/>
      <c r="DZ242" s="581"/>
      <c r="EA242" s="581"/>
      <c r="EB242" s="581"/>
      <c r="EC242" s="581"/>
      <c r="ED242" s="581"/>
      <c r="EE242" s="581"/>
      <c r="EF242" s="581"/>
      <c r="EG242" s="581"/>
      <c r="EH242" s="581"/>
      <c r="EI242" s="581"/>
      <c r="EJ242" s="581"/>
    </row>
    <row r="243" spans="1:140" ht="61.5">
      <c r="A243" s="801" t="s">
        <v>898</v>
      </c>
      <c r="B243" s="758" t="s">
        <v>800</v>
      </c>
      <c r="C243" s="842" t="s">
        <v>963</v>
      </c>
      <c r="D243" s="763"/>
      <c r="E243" s="849"/>
      <c r="F243" s="734">
        <v>53</v>
      </c>
      <c r="G243" s="602">
        <f>SUM(329535-G124)</f>
        <v>131809.31233333334</v>
      </c>
      <c r="H243" s="603"/>
      <c r="I243" s="603"/>
      <c r="J243" s="601">
        <f>SUM(F243*G243)/K243</f>
        <v>6985893.553666667</v>
      </c>
      <c r="K243" s="575">
        <v>1</v>
      </c>
      <c r="L243" s="700"/>
      <c r="M243" s="700"/>
      <c r="N243" s="700"/>
      <c r="O243" s="700"/>
      <c r="AG243" s="578"/>
      <c r="AH243" s="578"/>
      <c r="AI243" s="578"/>
      <c r="AJ243" s="578"/>
      <c r="AK243" s="578"/>
      <c r="AL243" s="579"/>
      <c r="AM243" s="580"/>
      <c r="AN243" s="581"/>
      <c r="AO243" s="581"/>
      <c r="AP243" s="579"/>
      <c r="AQ243" s="582"/>
      <c r="AR243" s="581"/>
      <c r="AS243" s="581"/>
      <c r="AT243" s="581"/>
      <c r="AU243" s="581"/>
      <c r="AV243" s="581"/>
      <c r="AW243" s="581"/>
      <c r="AX243" s="581"/>
      <c r="AY243" s="581"/>
      <c r="AZ243" s="581"/>
      <c r="BA243" s="581"/>
      <c r="BB243" s="581"/>
      <c r="BC243" s="581"/>
      <c r="BD243" s="581"/>
      <c r="BE243" s="581"/>
      <c r="BF243" s="581"/>
      <c r="BG243" s="581"/>
      <c r="BH243" s="581"/>
      <c r="BI243" s="581"/>
      <c r="BJ243" s="581"/>
      <c r="BK243" s="581"/>
      <c r="BL243" s="581"/>
      <c r="BM243" s="581"/>
      <c r="BN243" s="581"/>
      <c r="BO243" s="581"/>
      <c r="BP243" s="581"/>
      <c r="BQ243" s="581"/>
      <c r="BR243" s="581"/>
      <c r="BS243" s="581"/>
      <c r="BT243" s="581"/>
      <c r="BU243" s="581"/>
      <c r="BV243" s="581"/>
      <c r="BW243" s="581"/>
      <c r="BX243" s="581"/>
      <c r="BY243" s="581"/>
      <c r="BZ243" s="581"/>
      <c r="CA243" s="581"/>
      <c r="CB243" s="581"/>
      <c r="CC243" s="581"/>
      <c r="CD243" s="581"/>
      <c r="CE243" s="581"/>
      <c r="CF243" s="581"/>
      <c r="CG243" s="581"/>
      <c r="CH243" s="581"/>
      <c r="CI243" s="581"/>
      <c r="CJ243" s="581"/>
      <c r="CK243" s="581"/>
      <c r="CL243" s="581"/>
      <c r="CM243" s="581"/>
      <c r="CN243" s="581"/>
      <c r="CO243" s="581"/>
      <c r="CP243" s="581"/>
      <c r="CQ243" s="581"/>
      <c r="CR243" s="581"/>
      <c r="CS243" s="581"/>
      <c r="CT243" s="581"/>
      <c r="CU243" s="581"/>
      <c r="CV243" s="581"/>
      <c r="CW243" s="581"/>
      <c r="CX243" s="581"/>
      <c r="CY243" s="581"/>
      <c r="CZ243" s="581"/>
      <c r="DA243" s="581"/>
      <c r="DB243" s="581"/>
      <c r="DC243" s="581"/>
      <c r="DD243" s="581"/>
      <c r="DE243" s="581"/>
      <c r="DF243" s="581"/>
      <c r="DG243" s="581"/>
      <c r="DH243" s="581"/>
      <c r="DI243" s="581"/>
      <c r="DJ243" s="581"/>
      <c r="DK243" s="581"/>
      <c r="DL243" s="581"/>
      <c r="DM243" s="581"/>
      <c r="DN243" s="581"/>
      <c r="DO243" s="581"/>
      <c r="DP243" s="581"/>
      <c r="DQ243" s="581"/>
      <c r="DR243" s="581"/>
      <c r="DS243" s="581"/>
      <c r="DT243" s="581"/>
      <c r="DU243" s="581"/>
      <c r="DV243" s="581"/>
      <c r="DW243" s="581"/>
      <c r="DX243" s="581"/>
      <c r="DY243" s="581"/>
      <c r="DZ243" s="581"/>
      <c r="EA243" s="581"/>
      <c r="EB243" s="581"/>
      <c r="EC243" s="581"/>
      <c r="ED243" s="581"/>
      <c r="EE243" s="581"/>
      <c r="EF243" s="581"/>
      <c r="EG243" s="581"/>
      <c r="EH243" s="581"/>
      <c r="EI243" s="581"/>
      <c r="EJ243" s="581"/>
    </row>
    <row r="244" spans="1:140" ht="93">
      <c r="A244" s="801" t="s">
        <v>905</v>
      </c>
      <c r="B244" s="758" t="s">
        <v>801</v>
      </c>
      <c r="C244" s="842" t="s">
        <v>802</v>
      </c>
      <c r="D244" s="758">
        <v>3</v>
      </c>
      <c r="E244" s="849" t="s">
        <v>350</v>
      </c>
      <c r="F244" s="734">
        <v>116</v>
      </c>
      <c r="G244" s="602">
        <f>SUM(8510-G126)</f>
        <v>4116</v>
      </c>
      <c r="H244" s="603"/>
      <c r="I244" s="603"/>
      <c r="J244" s="601">
        <f>SUM(F244*G244)/K244</f>
        <v>477456</v>
      </c>
      <c r="K244" s="575">
        <v>1</v>
      </c>
      <c r="L244" s="569"/>
      <c r="M244" s="569"/>
      <c r="N244" s="569"/>
      <c r="O244" s="569"/>
      <c r="AG244" s="578"/>
      <c r="AH244" s="578"/>
      <c r="AI244" s="578"/>
      <c r="AJ244" s="578"/>
      <c r="AK244" s="578"/>
      <c r="AL244" s="579"/>
      <c r="AM244" s="580"/>
      <c r="AN244" s="581"/>
      <c r="AO244" s="581"/>
      <c r="AP244" s="579"/>
      <c r="AQ244" s="582"/>
      <c r="AR244" s="581"/>
      <c r="AS244" s="581"/>
      <c r="AT244" s="581"/>
      <c r="AU244" s="581"/>
      <c r="AV244" s="581"/>
      <c r="AW244" s="581"/>
      <c r="AX244" s="581"/>
      <c r="AY244" s="581"/>
      <c r="AZ244" s="581"/>
      <c r="BA244" s="581"/>
      <c r="BB244" s="581"/>
      <c r="BC244" s="581"/>
      <c r="BD244" s="581"/>
      <c r="BE244" s="581"/>
      <c r="BF244" s="581"/>
      <c r="BG244" s="581"/>
      <c r="BH244" s="581"/>
      <c r="BI244" s="581"/>
      <c r="BJ244" s="581"/>
      <c r="BK244" s="581"/>
      <c r="BL244" s="581"/>
      <c r="BM244" s="581"/>
      <c r="BN244" s="581"/>
      <c r="BO244" s="581"/>
      <c r="BP244" s="581"/>
      <c r="BQ244" s="581"/>
      <c r="BR244" s="581"/>
      <c r="BS244" s="581"/>
      <c r="BT244" s="581"/>
      <c r="BU244" s="581"/>
      <c r="BV244" s="581"/>
      <c r="BW244" s="581"/>
      <c r="BX244" s="581"/>
      <c r="BY244" s="581"/>
      <c r="BZ244" s="581"/>
      <c r="CA244" s="581"/>
      <c r="CB244" s="581"/>
      <c r="CC244" s="581"/>
      <c r="CD244" s="581"/>
      <c r="CE244" s="581"/>
      <c r="CF244" s="581"/>
      <c r="CG244" s="581"/>
      <c r="CH244" s="581"/>
      <c r="CI244" s="581"/>
      <c r="CJ244" s="581"/>
      <c r="CK244" s="581"/>
      <c r="CL244" s="581"/>
      <c r="CM244" s="581"/>
      <c r="CN244" s="581"/>
      <c r="CO244" s="581"/>
      <c r="CP244" s="581"/>
      <c r="CQ244" s="581"/>
      <c r="CR244" s="581"/>
      <c r="CS244" s="581"/>
      <c r="CT244" s="581"/>
      <c r="CU244" s="581"/>
      <c r="CV244" s="581"/>
      <c r="CW244" s="581"/>
      <c r="CX244" s="581"/>
      <c r="CY244" s="581"/>
      <c r="CZ244" s="581"/>
      <c r="DA244" s="581"/>
      <c r="DB244" s="581"/>
      <c r="DC244" s="581"/>
      <c r="DD244" s="581"/>
      <c r="DE244" s="581"/>
      <c r="DF244" s="581"/>
      <c r="DG244" s="581"/>
      <c r="DH244" s="581"/>
      <c r="DI244" s="581"/>
      <c r="DJ244" s="581"/>
      <c r="DK244" s="581"/>
      <c r="DL244" s="581"/>
      <c r="DM244" s="581"/>
      <c r="DN244" s="581"/>
      <c r="DO244" s="581"/>
      <c r="DP244" s="581"/>
      <c r="DQ244" s="581"/>
      <c r="DR244" s="581"/>
      <c r="DS244" s="581"/>
      <c r="DT244" s="581"/>
      <c r="DU244" s="581"/>
      <c r="DV244" s="581"/>
      <c r="DW244" s="581"/>
      <c r="DX244" s="581"/>
      <c r="DY244" s="581"/>
      <c r="DZ244" s="581"/>
      <c r="EA244" s="581"/>
      <c r="EB244" s="581"/>
      <c r="EC244" s="581"/>
      <c r="ED244" s="581"/>
      <c r="EE244" s="581"/>
      <c r="EF244" s="581"/>
      <c r="EG244" s="581"/>
      <c r="EH244" s="581"/>
      <c r="EI244" s="581"/>
      <c r="EJ244" s="581"/>
    </row>
    <row r="245" spans="1:140" ht="46.5">
      <c r="A245" s="812" t="s">
        <v>934</v>
      </c>
      <c r="B245" s="758"/>
      <c r="C245" s="763"/>
      <c r="D245" s="758"/>
      <c r="E245" s="849"/>
      <c r="F245" s="734" t="s">
        <v>908</v>
      </c>
      <c r="G245" s="597" t="s">
        <v>908</v>
      </c>
      <c r="H245" s="544"/>
      <c r="I245" s="544"/>
      <c r="J245" s="596" t="s">
        <v>908</v>
      </c>
      <c r="K245" s="575" t="s">
        <v>908</v>
      </c>
      <c r="L245" s="569"/>
      <c r="M245" s="569"/>
      <c r="N245" s="569"/>
      <c r="O245" s="569"/>
      <c r="AG245" s="578"/>
      <c r="AH245" s="578"/>
      <c r="AI245" s="578"/>
      <c r="AJ245" s="578"/>
      <c r="AK245" s="578"/>
      <c r="AL245" s="579"/>
      <c r="AM245" s="580"/>
      <c r="AN245" s="581"/>
      <c r="AO245" s="581"/>
      <c r="AP245" s="579"/>
      <c r="AQ245" s="582"/>
      <c r="AR245" s="581"/>
      <c r="AS245" s="581"/>
      <c r="AT245" s="581"/>
      <c r="AU245" s="581"/>
      <c r="AV245" s="581"/>
      <c r="AW245" s="581"/>
      <c r="AX245" s="581"/>
      <c r="AY245" s="581"/>
      <c r="AZ245" s="581"/>
      <c r="BA245" s="581"/>
      <c r="BB245" s="581"/>
      <c r="BC245" s="581"/>
      <c r="BD245" s="581"/>
      <c r="BE245" s="581"/>
      <c r="BF245" s="581"/>
      <c r="BG245" s="581"/>
      <c r="BH245" s="581"/>
      <c r="BI245" s="581"/>
      <c r="BJ245" s="581"/>
      <c r="BK245" s="581"/>
      <c r="BL245" s="581"/>
      <c r="BM245" s="581"/>
      <c r="BN245" s="581"/>
      <c r="BO245" s="581"/>
      <c r="BP245" s="581"/>
      <c r="BQ245" s="581"/>
      <c r="BR245" s="581"/>
      <c r="BS245" s="581"/>
      <c r="BT245" s="581"/>
      <c r="BU245" s="581"/>
      <c r="BV245" s="581"/>
      <c r="BW245" s="581"/>
      <c r="BX245" s="581"/>
      <c r="BY245" s="581"/>
      <c r="BZ245" s="581"/>
      <c r="CA245" s="581"/>
      <c r="CB245" s="581"/>
      <c r="CC245" s="581"/>
      <c r="CD245" s="581"/>
      <c r="CE245" s="581"/>
      <c r="CF245" s="581"/>
      <c r="CG245" s="581"/>
      <c r="CH245" s="581"/>
      <c r="CI245" s="581"/>
      <c r="CJ245" s="581"/>
      <c r="CK245" s="581"/>
      <c r="CL245" s="581"/>
      <c r="CM245" s="581"/>
      <c r="CN245" s="581"/>
      <c r="CO245" s="581"/>
      <c r="CP245" s="581"/>
      <c r="CQ245" s="581"/>
      <c r="CR245" s="581"/>
      <c r="CS245" s="581"/>
      <c r="CT245" s="581"/>
      <c r="CU245" s="581"/>
      <c r="CV245" s="581"/>
      <c r="CW245" s="581"/>
      <c r="CX245" s="581"/>
      <c r="CY245" s="581"/>
      <c r="CZ245" s="581"/>
      <c r="DA245" s="581"/>
      <c r="DB245" s="581"/>
      <c r="DC245" s="581"/>
      <c r="DD245" s="581"/>
      <c r="DE245" s="581"/>
      <c r="DF245" s="581"/>
      <c r="DG245" s="581"/>
      <c r="DH245" s="581"/>
      <c r="DI245" s="581"/>
      <c r="DJ245" s="581"/>
      <c r="DK245" s="581"/>
      <c r="DL245" s="581"/>
      <c r="DM245" s="581"/>
      <c r="DN245" s="581"/>
      <c r="DO245" s="581"/>
      <c r="DP245" s="581"/>
      <c r="DQ245" s="581"/>
      <c r="DR245" s="581"/>
      <c r="DS245" s="581"/>
      <c r="DT245" s="581"/>
      <c r="DU245" s="581"/>
      <c r="DV245" s="581"/>
      <c r="DW245" s="581"/>
      <c r="DX245" s="581"/>
      <c r="DY245" s="581"/>
      <c r="DZ245" s="581"/>
      <c r="EA245" s="581"/>
      <c r="EB245" s="581"/>
      <c r="EC245" s="581"/>
      <c r="ED245" s="581"/>
      <c r="EE245" s="581"/>
      <c r="EF245" s="581"/>
      <c r="EG245" s="581"/>
      <c r="EH245" s="581"/>
      <c r="EI245" s="581"/>
      <c r="EJ245" s="581"/>
    </row>
    <row r="246" spans="1:140" ht="93">
      <c r="A246" s="801" t="s">
        <v>904</v>
      </c>
      <c r="B246" s="758" t="s">
        <v>801</v>
      </c>
      <c r="C246" s="842" t="s">
        <v>802</v>
      </c>
      <c r="D246" s="758">
        <v>4</v>
      </c>
      <c r="E246" s="849" t="s">
        <v>352</v>
      </c>
      <c r="F246" s="734">
        <v>116</v>
      </c>
      <c r="G246" s="602">
        <f>SUM(885-G132)</f>
        <v>711</v>
      </c>
      <c r="H246" s="603"/>
      <c r="I246" s="603"/>
      <c r="J246" s="601">
        <f>SUM(F246*G246)/K246</f>
        <v>82476</v>
      </c>
      <c r="K246" s="575">
        <v>1</v>
      </c>
      <c r="L246" s="569"/>
      <c r="M246" s="569"/>
      <c r="N246" s="569"/>
      <c r="O246" s="569"/>
      <c r="AG246" s="578"/>
      <c r="AH246" s="578"/>
      <c r="AI246" s="578"/>
      <c r="AJ246" s="578"/>
      <c r="AK246" s="578"/>
      <c r="AL246" s="579"/>
      <c r="AM246" s="580"/>
      <c r="AN246" s="581"/>
      <c r="AO246" s="581"/>
      <c r="AP246" s="579"/>
      <c r="AQ246" s="582"/>
      <c r="AR246" s="581"/>
      <c r="AS246" s="581"/>
      <c r="AT246" s="581"/>
      <c r="AU246" s="581"/>
      <c r="AV246" s="581"/>
      <c r="AW246" s="581"/>
      <c r="AX246" s="581"/>
      <c r="AY246" s="581"/>
      <c r="AZ246" s="581"/>
      <c r="BA246" s="581"/>
      <c r="BB246" s="581"/>
      <c r="BC246" s="581"/>
      <c r="BD246" s="581"/>
      <c r="BE246" s="581"/>
      <c r="BF246" s="581"/>
      <c r="BG246" s="581"/>
      <c r="BH246" s="581"/>
      <c r="BI246" s="581"/>
      <c r="BJ246" s="581"/>
      <c r="BK246" s="581"/>
      <c r="BL246" s="581"/>
      <c r="BM246" s="581"/>
      <c r="BN246" s="581"/>
      <c r="BO246" s="581"/>
      <c r="BP246" s="581"/>
      <c r="BQ246" s="581"/>
      <c r="BR246" s="581"/>
      <c r="BS246" s="581"/>
      <c r="BT246" s="581"/>
      <c r="BU246" s="581"/>
      <c r="BV246" s="581"/>
      <c r="BW246" s="581"/>
      <c r="BX246" s="581"/>
      <c r="BY246" s="581"/>
      <c r="BZ246" s="581"/>
      <c r="CA246" s="581"/>
      <c r="CB246" s="581"/>
      <c r="CC246" s="581"/>
      <c r="CD246" s="581"/>
      <c r="CE246" s="581"/>
      <c r="CF246" s="581"/>
      <c r="CG246" s="581"/>
      <c r="CH246" s="581"/>
      <c r="CI246" s="581"/>
      <c r="CJ246" s="581"/>
      <c r="CK246" s="581"/>
      <c r="CL246" s="581"/>
      <c r="CM246" s="581"/>
      <c r="CN246" s="581"/>
      <c r="CO246" s="581"/>
      <c r="CP246" s="581"/>
      <c r="CQ246" s="581"/>
      <c r="CR246" s="581"/>
      <c r="CS246" s="581"/>
      <c r="CT246" s="581"/>
      <c r="CU246" s="581"/>
      <c r="CV246" s="581"/>
      <c r="CW246" s="581"/>
      <c r="CX246" s="581"/>
      <c r="CY246" s="581"/>
      <c r="CZ246" s="581"/>
      <c r="DA246" s="581"/>
      <c r="DB246" s="581"/>
      <c r="DC246" s="581"/>
      <c r="DD246" s="581"/>
      <c r="DE246" s="581"/>
      <c r="DF246" s="581"/>
      <c r="DG246" s="581"/>
      <c r="DH246" s="581"/>
      <c r="DI246" s="581"/>
      <c r="DJ246" s="581"/>
      <c r="DK246" s="581"/>
      <c r="DL246" s="581"/>
      <c r="DM246" s="581"/>
      <c r="DN246" s="581"/>
      <c r="DO246" s="581"/>
      <c r="DP246" s="581"/>
      <c r="DQ246" s="581"/>
      <c r="DR246" s="581"/>
      <c r="DS246" s="581"/>
      <c r="DT246" s="581"/>
      <c r="DU246" s="581"/>
      <c r="DV246" s="581"/>
      <c r="DW246" s="581"/>
      <c r="DX246" s="581"/>
      <c r="DY246" s="581"/>
      <c r="DZ246" s="581"/>
      <c r="EA246" s="581"/>
      <c r="EB246" s="581"/>
      <c r="EC246" s="581"/>
      <c r="ED246" s="581"/>
      <c r="EE246" s="581"/>
      <c r="EF246" s="581"/>
      <c r="EG246" s="581"/>
      <c r="EH246" s="581"/>
      <c r="EI246" s="581"/>
      <c r="EJ246" s="581"/>
    </row>
    <row r="247" spans="1:140" ht="15">
      <c r="A247" s="631" t="s">
        <v>101</v>
      </c>
      <c r="B247" s="758"/>
      <c r="C247" s="758"/>
      <c r="D247" s="758"/>
      <c r="E247" s="849"/>
      <c r="F247" s="734"/>
      <c r="G247" s="597"/>
      <c r="H247" s="544"/>
      <c r="I247" s="544"/>
      <c r="J247" s="596"/>
      <c r="K247" s="575"/>
      <c r="L247" s="569"/>
      <c r="M247" s="569"/>
      <c r="N247" s="569"/>
      <c r="O247" s="569"/>
      <c r="AG247" s="578"/>
      <c r="AH247" s="578"/>
      <c r="AI247" s="578"/>
      <c r="AJ247" s="578"/>
      <c r="AK247" s="578"/>
      <c r="AL247" s="579"/>
      <c r="AM247" s="580"/>
      <c r="AN247" s="581"/>
      <c r="AO247" s="581"/>
      <c r="AP247" s="579"/>
      <c r="AQ247" s="582"/>
      <c r="AR247" s="581"/>
      <c r="AS247" s="581"/>
      <c r="AT247" s="581"/>
      <c r="AU247" s="581"/>
      <c r="AV247" s="581"/>
      <c r="AW247" s="581"/>
      <c r="AX247" s="581"/>
      <c r="AY247" s="581"/>
      <c r="AZ247" s="581"/>
      <c r="BA247" s="581"/>
      <c r="BB247" s="581"/>
      <c r="BC247" s="581"/>
      <c r="BD247" s="581"/>
      <c r="BE247" s="581"/>
      <c r="BF247" s="581"/>
      <c r="BG247" s="581"/>
      <c r="BH247" s="581"/>
      <c r="BI247" s="581"/>
      <c r="BJ247" s="581"/>
      <c r="BK247" s="581"/>
      <c r="BL247" s="581"/>
      <c r="BM247" s="581"/>
      <c r="BN247" s="581"/>
      <c r="BO247" s="581"/>
      <c r="BP247" s="581"/>
      <c r="BQ247" s="581"/>
      <c r="BR247" s="581"/>
      <c r="BS247" s="581"/>
      <c r="BT247" s="581"/>
      <c r="BU247" s="581"/>
      <c r="BV247" s="581"/>
      <c r="BW247" s="581"/>
      <c r="BX247" s="581"/>
      <c r="BY247" s="581"/>
      <c r="BZ247" s="581"/>
      <c r="CA247" s="581"/>
      <c r="CB247" s="581"/>
      <c r="CC247" s="581"/>
      <c r="CD247" s="581"/>
      <c r="CE247" s="581"/>
      <c r="CF247" s="581"/>
      <c r="CG247" s="581"/>
      <c r="CH247" s="581"/>
      <c r="CI247" s="581"/>
      <c r="CJ247" s="581"/>
      <c r="CK247" s="581"/>
      <c r="CL247" s="581"/>
      <c r="CM247" s="581"/>
      <c r="CN247" s="581"/>
      <c r="CO247" s="581"/>
      <c r="CP247" s="581"/>
      <c r="CQ247" s="581"/>
      <c r="CR247" s="581"/>
      <c r="CS247" s="581"/>
      <c r="CT247" s="581"/>
      <c r="CU247" s="581"/>
      <c r="CV247" s="581"/>
      <c r="CW247" s="581"/>
      <c r="CX247" s="581"/>
      <c r="CY247" s="581"/>
      <c r="CZ247" s="581"/>
      <c r="DA247" s="581"/>
      <c r="DB247" s="581"/>
      <c r="DC247" s="581"/>
      <c r="DD247" s="581"/>
      <c r="DE247" s="581"/>
      <c r="DF247" s="581"/>
      <c r="DG247" s="581"/>
      <c r="DH247" s="581"/>
      <c r="DI247" s="581"/>
      <c r="DJ247" s="581"/>
      <c r="DK247" s="581"/>
      <c r="DL247" s="581"/>
      <c r="DM247" s="581"/>
      <c r="DN247" s="581"/>
      <c r="DO247" s="581"/>
      <c r="DP247" s="581"/>
      <c r="DQ247" s="581"/>
      <c r="DR247" s="581"/>
      <c r="DS247" s="581"/>
      <c r="DT247" s="581"/>
      <c r="DU247" s="581"/>
      <c r="DV247" s="581"/>
      <c r="DW247" s="581"/>
      <c r="DX247" s="581"/>
      <c r="DY247" s="581"/>
      <c r="DZ247" s="581"/>
      <c r="EA247" s="581"/>
      <c r="EB247" s="581"/>
      <c r="EC247" s="581"/>
      <c r="ED247" s="581"/>
      <c r="EE247" s="581"/>
      <c r="EF247" s="581"/>
      <c r="EG247" s="581"/>
      <c r="EH247" s="581"/>
      <c r="EI247" s="581"/>
      <c r="EJ247" s="581"/>
    </row>
    <row r="248" spans="1:140" ht="15">
      <c r="A248" s="631"/>
      <c r="B248" s="758"/>
      <c r="C248" s="758"/>
      <c r="D248" s="758"/>
      <c r="E248" s="849"/>
      <c r="F248" s="734"/>
      <c r="G248" s="597"/>
      <c r="H248" s="544"/>
      <c r="I248" s="544"/>
      <c r="J248" s="596"/>
      <c r="K248" s="575"/>
      <c r="L248" s="569"/>
      <c r="M248" s="569"/>
      <c r="N248" s="569"/>
      <c r="O248" s="569"/>
      <c r="AG248" s="578"/>
      <c r="AH248" s="578"/>
      <c r="AI248" s="578"/>
      <c r="AJ248" s="578"/>
      <c r="AK248" s="578"/>
      <c r="AL248" s="579"/>
      <c r="AM248" s="580"/>
      <c r="AN248" s="581"/>
      <c r="AO248" s="581"/>
      <c r="AP248" s="579"/>
      <c r="AQ248" s="582"/>
      <c r="AR248" s="581"/>
      <c r="AS248" s="581"/>
      <c r="AT248" s="581"/>
      <c r="AU248" s="581"/>
      <c r="AV248" s="581"/>
      <c r="AW248" s="581"/>
      <c r="AX248" s="581"/>
      <c r="AY248" s="581"/>
      <c r="AZ248" s="581"/>
      <c r="BA248" s="581"/>
      <c r="BB248" s="581"/>
      <c r="BC248" s="581"/>
      <c r="BD248" s="581"/>
      <c r="BE248" s="581"/>
      <c r="BF248" s="581"/>
      <c r="BG248" s="581"/>
      <c r="BH248" s="581"/>
      <c r="BI248" s="581"/>
      <c r="BJ248" s="581"/>
      <c r="BK248" s="581"/>
      <c r="BL248" s="581"/>
      <c r="BM248" s="581"/>
      <c r="BN248" s="581"/>
      <c r="BO248" s="581"/>
      <c r="BP248" s="581"/>
      <c r="BQ248" s="581"/>
      <c r="BR248" s="581"/>
      <c r="BS248" s="581"/>
      <c r="BT248" s="581"/>
      <c r="BU248" s="581"/>
      <c r="BV248" s="581"/>
      <c r="BW248" s="581"/>
      <c r="BX248" s="581"/>
      <c r="BY248" s="581"/>
      <c r="BZ248" s="581"/>
      <c r="CA248" s="581"/>
      <c r="CB248" s="581"/>
      <c r="CC248" s="581"/>
      <c r="CD248" s="581"/>
      <c r="CE248" s="581"/>
      <c r="CF248" s="581"/>
      <c r="CG248" s="581"/>
      <c r="CH248" s="581"/>
      <c r="CI248" s="581"/>
      <c r="CJ248" s="581"/>
      <c r="CK248" s="581"/>
      <c r="CL248" s="581"/>
      <c r="CM248" s="581"/>
      <c r="CN248" s="581"/>
      <c r="CO248" s="581"/>
      <c r="CP248" s="581"/>
      <c r="CQ248" s="581"/>
      <c r="CR248" s="581"/>
      <c r="CS248" s="581"/>
      <c r="CT248" s="581"/>
      <c r="CU248" s="581"/>
      <c r="CV248" s="581"/>
      <c r="CW248" s="581"/>
      <c r="CX248" s="581"/>
      <c r="CY248" s="581"/>
      <c r="CZ248" s="581"/>
      <c r="DA248" s="581"/>
      <c r="DB248" s="581"/>
      <c r="DC248" s="581"/>
      <c r="DD248" s="581"/>
      <c r="DE248" s="581"/>
      <c r="DF248" s="581"/>
      <c r="DG248" s="581"/>
      <c r="DH248" s="581"/>
      <c r="DI248" s="581"/>
      <c r="DJ248" s="581"/>
      <c r="DK248" s="581"/>
      <c r="DL248" s="581"/>
      <c r="DM248" s="581"/>
      <c r="DN248" s="581"/>
      <c r="DO248" s="581"/>
      <c r="DP248" s="581"/>
      <c r="DQ248" s="581"/>
      <c r="DR248" s="581"/>
      <c r="DS248" s="581"/>
      <c r="DT248" s="581"/>
      <c r="DU248" s="581"/>
      <c r="DV248" s="581"/>
      <c r="DW248" s="581"/>
      <c r="DX248" s="581"/>
      <c r="DY248" s="581"/>
      <c r="DZ248" s="581"/>
      <c r="EA248" s="581"/>
      <c r="EB248" s="581"/>
      <c r="EC248" s="581"/>
      <c r="ED248" s="581"/>
      <c r="EE248" s="581"/>
      <c r="EF248" s="581"/>
      <c r="EG248" s="581"/>
      <c r="EH248" s="581"/>
      <c r="EI248" s="581"/>
      <c r="EJ248" s="581"/>
    </row>
    <row r="249" spans="1:140" ht="36">
      <c r="A249" s="768" t="s">
        <v>102</v>
      </c>
      <c r="B249" s="758"/>
      <c r="C249" s="758"/>
      <c r="D249" s="758"/>
      <c r="E249" s="849"/>
      <c r="F249" s="734"/>
      <c r="G249" s="597"/>
      <c r="H249" s="544"/>
      <c r="I249" s="544"/>
      <c r="J249" s="596"/>
      <c r="K249" s="575"/>
      <c r="L249" s="569"/>
      <c r="M249" s="569"/>
      <c r="N249" s="569"/>
      <c r="O249" s="569"/>
      <c r="AG249" s="578"/>
      <c r="AH249" s="578"/>
      <c r="AI249" s="578"/>
      <c r="AJ249" s="578"/>
      <c r="AK249" s="578"/>
      <c r="AL249" s="579"/>
      <c r="AM249" s="580"/>
      <c r="AN249" s="581"/>
      <c r="AO249" s="581"/>
      <c r="AP249" s="579"/>
      <c r="AQ249" s="582"/>
      <c r="AR249" s="581"/>
      <c r="AS249" s="581"/>
      <c r="AT249" s="581"/>
      <c r="AU249" s="581"/>
      <c r="AV249" s="581"/>
      <c r="AW249" s="581"/>
      <c r="AX249" s="581"/>
      <c r="AY249" s="581"/>
      <c r="AZ249" s="581"/>
      <c r="BA249" s="581"/>
      <c r="BB249" s="581"/>
      <c r="BC249" s="581"/>
      <c r="BD249" s="581"/>
      <c r="BE249" s="581"/>
      <c r="BF249" s="581"/>
      <c r="BG249" s="581"/>
      <c r="BH249" s="581"/>
      <c r="BI249" s="581"/>
      <c r="BJ249" s="581"/>
      <c r="BK249" s="581"/>
      <c r="BL249" s="581"/>
      <c r="BM249" s="581"/>
      <c r="BN249" s="581"/>
      <c r="BO249" s="581"/>
      <c r="BP249" s="581"/>
      <c r="BQ249" s="581"/>
      <c r="BR249" s="581"/>
      <c r="BS249" s="581"/>
      <c r="BT249" s="581"/>
      <c r="BU249" s="581"/>
      <c r="BV249" s="581"/>
      <c r="BW249" s="581"/>
      <c r="BX249" s="581"/>
      <c r="BY249" s="581"/>
      <c r="BZ249" s="581"/>
      <c r="CA249" s="581"/>
      <c r="CB249" s="581"/>
      <c r="CC249" s="581"/>
      <c r="CD249" s="581"/>
      <c r="CE249" s="581"/>
      <c r="CF249" s="581"/>
      <c r="CG249" s="581"/>
      <c r="CH249" s="581"/>
      <c r="CI249" s="581"/>
      <c r="CJ249" s="581"/>
      <c r="CK249" s="581"/>
      <c r="CL249" s="581"/>
      <c r="CM249" s="581"/>
      <c r="CN249" s="581"/>
      <c r="CO249" s="581"/>
      <c r="CP249" s="581"/>
      <c r="CQ249" s="581"/>
      <c r="CR249" s="581"/>
      <c r="CS249" s="581"/>
      <c r="CT249" s="581"/>
      <c r="CU249" s="581"/>
      <c r="CV249" s="581"/>
      <c r="CW249" s="581"/>
      <c r="CX249" s="581"/>
      <c r="CY249" s="581"/>
      <c r="CZ249" s="581"/>
      <c r="DA249" s="581"/>
      <c r="DB249" s="581"/>
      <c r="DC249" s="581"/>
      <c r="DD249" s="581"/>
      <c r="DE249" s="581"/>
      <c r="DF249" s="581"/>
      <c r="DG249" s="581"/>
      <c r="DH249" s="581"/>
      <c r="DI249" s="581"/>
      <c r="DJ249" s="581"/>
      <c r="DK249" s="581"/>
      <c r="DL249" s="581"/>
      <c r="DM249" s="581"/>
      <c r="DN249" s="581"/>
      <c r="DO249" s="581"/>
      <c r="DP249" s="581"/>
      <c r="DQ249" s="581"/>
      <c r="DR249" s="581"/>
      <c r="DS249" s="581"/>
      <c r="DT249" s="581"/>
      <c r="DU249" s="581"/>
      <c r="DV249" s="581"/>
      <c r="DW249" s="581"/>
      <c r="DX249" s="581"/>
      <c r="DY249" s="581"/>
      <c r="DZ249" s="581"/>
      <c r="EA249" s="581"/>
      <c r="EB249" s="581"/>
      <c r="EC249" s="581"/>
      <c r="ED249" s="581"/>
      <c r="EE249" s="581"/>
      <c r="EF249" s="581"/>
      <c r="EG249" s="581"/>
      <c r="EH249" s="581"/>
      <c r="EI249" s="581"/>
      <c r="EJ249" s="581"/>
    </row>
    <row r="250" spans="1:140" ht="15">
      <c r="A250" s="631"/>
      <c r="B250" s="758"/>
      <c r="C250" s="758"/>
      <c r="D250" s="758"/>
      <c r="E250" s="849"/>
      <c r="F250" s="734"/>
      <c r="G250" s="597"/>
      <c r="H250" s="544"/>
      <c r="I250" s="544"/>
      <c r="J250" s="596"/>
      <c r="K250" s="575"/>
      <c r="L250" s="569"/>
      <c r="M250" s="569"/>
      <c r="N250" s="569"/>
      <c r="O250" s="569"/>
      <c r="AG250" s="578"/>
      <c r="AH250" s="578"/>
      <c r="AI250" s="578"/>
      <c r="AJ250" s="578"/>
      <c r="AK250" s="578"/>
      <c r="AL250" s="579"/>
      <c r="AM250" s="580"/>
      <c r="AN250" s="581"/>
      <c r="AO250" s="581"/>
      <c r="AP250" s="579"/>
      <c r="AQ250" s="582"/>
      <c r="AR250" s="581"/>
      <c r="AS250" s="581"/>
      <c r="AT250" s="581"/>
      <c r="AU250" s="581"/>
      <c r="AV250" s="581"/>
      <c r="AW250" s="581"/>
      <c r="AX250" s="581"/>
      <c r="AY250" s="581"/>
      <c r="AZ250" s="581"/>
      <c r="BA250" s="581"/>
      <c r="BB250" s="581"/>
      <c r="BC250" s="581"/>
      <c r="BD250" s="581"/>
      <c r="BE250" s="581"/>
      <c r="BF250" s="581"/>
      <c r="BG250" s="581"/>
      <c r="BH250" s="581"/>
      <c r="BI250" s="581"/>
      <c r="BJ250" s="581"/>
      <c r="BK250" s="581"/>
      <c r="BL250" s="581"/>
      <c r="BM250" s="581"/>
      <c r="BN250" s="581"/>
      <c r="BO250" s="581"/>
      <c r="BP250" s="581"/>
      <c r="BQ250" s="581"/>
      <c r="BR250" s="581"/>
      <c r="BS250" s="581"/>
      <c r="BT250" s="581"/>
      <c r="BU250" s="581"/>
      <c r="BV250" s="581"/>
      <c r="BW250" s="581"/>
      <c r="BX250" s="581"/>
      <c r="BY250" s="581"/>
      <c r="BZ250" s="581"/>
      <c r="CA250" s="581"/>
      <c r="CB250" s="581"/>
      <c r="CC250" s="581"/>
      <c r="CD250" s="581"/>
      <c r="CE250" s="581"/>
      <c r="CF250" s="581"/>
      <c r="CG250" s="581"/>
      <c r="CH250" s="581"/>
      <c r="CI250" s="581"/>
      <c r="CJ250" s="581"/>
      <c r="CK250" s="581"/>
      <c r="CL250" s="581"/>
      <c r="CM250" s="581"/>
      <c r="CN250" s="581"/>
      <c r="CO250" s="581"/>
      <c r="CP250" s="581"/>
      <c r="CQ250" s="581"/>
      <c r="CR250" s="581"/>
      <c r="CS250" s="581"/>
      <c r="CT250" s="581"/>
      <c r="CU250" s="581"/>
      <c r="CV250" s="581"/>
      <c r="CW250" s="581"/>
      <c r="CX250" s="581"/>
      <c r="CY250" s="581"/>
      <c r="CZ250" s="581"/>
      <c r="DA250" s="581"/>
      <c r="DB250" s="581"/>
      <c r="DC250" s="581"/>
      <c r="DD250" s="581"/>
      <c r="DE250" s="581"/>
      <c r="DF250" s="581"/>
      <c r="DG250" s="581"/>
      <c r="DH250" s="581"/>
      <c r="DI250" s="581"/>
      <c r="DJ250" s="581"/>
      <c r="DK250" s="581"/>
      <c r="DL250" s="581"/>
      <c r="DM250" s="581"/>
      <c r="DN250" s="581"/>
      <c r="DO250" s="581"/>
      <c r="DP250" s="581"/>
      <c r="DQ250" s="581"/>
      <c r="DR250" s="581"/>
      <c r="DS250" s="581"/>
      <c r="DT250" s="581"/>
      <c r="DU250" s="581"/>
      <c r="DV250" s="581"/>
      <c r="DW250" s="581"/>
      <c r="DX250" s="581"/>
      <c r="DY250" s="581"/>
      <c r="DZ250" s="581"/>
      <c r="EA250" s="581"/>
      <c r="EB250" s="581"/>
      <c r="EC250" s="581"/>
      <c r="ED250" s="581"/>
      <c r="EE250" s="581"/>
      <c r="EF250" s="581"/>
      <c r="EG250" s="581"/>
      <c r="EH250" s="581"/>
      <c r="EI250" s="581"/>
      <c r="EJ250" s="581"/>
    </row>
    <row r="251" spans="1:140" ht="15">
      <c r="A251" s="769"/>
      <c r="B251" s="758"/>
      <c r="C251" s="758"/>
      <c r="D251" s="758"/>
      <c r="E251" s="849"/>
      <c r="F251" s="734"/>
      <c r="G251" s="597"/>
      <c r="H251" s="544"/>
      <c r="I251" s="544"/>
      <c r="J251" s="596"/>
      <c r="K251" s="575"/>
      <c r="L251" s="569"/>
      <c r="M251" s="569"/>
      <c r="N251" s="569"/>
      <c r="O251" s="569"/>
      <c r="AG251" s="578"/>
      <c r="AH251" s="578"/>
      <c r="AI251" s="578"/>
      <c r="AJ251" s="578"/>
      <c r="AK251" s="578"/>
      <c r="AL251" s="579"/>
      <c r="AM251" s="580"/>
      <c r="AN251" s="581"/>
      <c r="AO251" s="581"/>
      <c r="AP251" s="579"/>
      <c r="AQ251" s="582"/>
      <c r="AR251" s="581"/>
      <c r="AS251" s="581"/>
      <c r="AT251" s="581"/>
      <c r="AU251" s="581"/>
      <c r="AV251" s="581"/>
      <c r="AW251" s="581"/>
      <c r="AX251" s="581"/>
      <c r="AY251" s="581"/>
      <c r="AZ251" s="581"/>
      <c r="BA251" s="581"/>
      <c r="BB251" s="581"/>
      <c r="BC251" s="581"/>
      <c r="BD251" s="581"/>
      <c r="BE251" s="581"/>
      <c r="BF251" s="581"/>
      <c r="BG251" s="581"/>
      <c r="BH251" s="581"/>
      <c r="BI251" s="581"/>
      <c r="BJ251" s="581"/>
      <c r="BK251" s="581"/>
      <c r="BL251" s="581"/>
      <c r="BM251" s="581"/>
      <c r="BN251" s="581"/>
      <c r="BO251" s="581"/>
      <c r="BP251" s="581"/>
      <c r="BQ251" s="581"/>
      <c r="BR251" s="581"/>
      <c r="BS251" s="581"/>
      <c r="BT251" s="581"/>
      <c r="BU251" s="581"/>
      <c r="BV251" s="581"/>
      <c r="BW251" s="581"/>
      <c r="BX251" s="581"/>
      <c r="BY251" s="581"/>
      <c r="BZ251" s="581"/>
      <c r="CA251" s="581"/>
      <c r="CB251" s="581"/>
      <c r="CC251" s="581"/>
      <c r="CD251" s="581"/>
      <c r="CE251" s="581"/>
      <c r="CF251" s="581"/>
      <c r="CG251" s="581"/>
      <c r="CH251" s="581"/>
      <c r="CI251" s="581"/>
      <c r="CJ251" s="581"/>
      <c r="CK251" s="581"/>
      <c r="CL251" s="581"/>
      <c r="CM251" s="581"/>
      <c r="CN251" s="581"/>
      <c r="CO251" s="581"/>
      <c r="CP251" s="581"/>
      <c r="CQ251" s="581"/>
      <c r="CR251" s="581"/>
      <c r="CS251" s="581"/>
      <c r="CT251" s="581"/>
      <c r="CU251" s="581"/>
      <c r="CV251" s="581"/>
      <c r="CW251" s="581"/>
      <c r="CX251" s="581"/>
      <c r="CY251" s="581"/>
      <c r="CZ251" s="581"/>
      <c r="DA251" s="581"/>
      <c r="DB251" s="581"/>
      <c r="DC251" s="581"/>
      <c r="DD251" s="581"/>
      <c r="DE251" s="581"/>
      <c r="DF251" s="581"/>
      <c r="DG251" s="581"/>
      <c r="DH251" s="581"/>
      <c r="DI251" s="581"/>
      <c r="DJ251" s="581"/>
      <c r="DK251" s="581"/>
      <c r="DL251" s="581"/>
      <c r="DM251" s="581"/>
      <c r="DN251" s="581"/>
      <c r="DO251" s="581"/>
      <c r="DP251" s="581"/>
      <c r="DQ251" s="581"/>
      <c r="DR251" s="581"/>
      <c r="DS251" s="581"/>
      <c r="DT251" s="581"/>
      <c r="DU251" s="581"/>
      <c r="DV251" s="581"/>
      <c r="DW251" s="581"/>
      <c r="DX251" s="581"/>
      <c r="DY251" s="581"/>
      <c r="DZ251" s="581"/>
      <c r="EA251" s="581"/>
      <c r="EB251" s="581"/>
      <c r="EC251" s="581"/>
      <c r="ED251" s="581"/>
      <c r="EE251" s="581"/>
      <c r="EF251" s="581"/>
      <c r="EG251" s="581"/>
      <c r="EH251" s="581"/>
      <c r="EI251" s="581"/>
      <c r="EJ251" s="581"/>
    </row>
    <row r="252" spans="1:140" ht="49.5">
      <c r="A252" s="664" t="s">
        <v>103</v>
      </c>
      <c r="B252" s="758"/>
      <c r="C252" s="758"/>
      <c r="D252" s="758"/>
      <c r="E252" s="849"/>
      <c r="F252" s="734"/>
      <c r="G252" s="597"/>
      <c r="H252" s="544"/>
      <c r="I252" s="544"/>
      <c r="J252" s="596"/>
      <c r="K252" s="575"/>
      <c r="L252" s="569"/>
      <c r="M252" s="569"/>
      <c r="N252" s="569"/>
      <c r="O252" s="569"/>
      <c r="AG252" s="578"/>
      <c r="AH252" s="578"/>
      <c r="AI252" s="578"/>
      <c r="AJ252" s="578"/>
      <c r="AK252" s="578"/>
      <c r="AL252" s="579"/>
      <c r="AM252" s="580"/>
      <c r="AN252" s="581"/>
      <c r="AO252" s="581"/>
      <c r="AP252" s="579"/>
      <c r="AQ252" s="582"/>
      <c r="AR252" s="581"/>
      <c r="AS252" s="581"/>
      <c r="AT252" s="581"/>
      <c r="AU252" s="581"/>
      <c r="AV252" s="581"/>
      <c r="AW252" s="581"/>
      <c r="AX252" s="581"/>
      <c r="AY252" s="581"/>
      <c r="AZ252" s="581"/>
      <c r="BA252" s="581"/>
      <c r="BB252" s="581"/>
      <c r="BC252" s="581"/>
      <c r="BD252" s="581"/>
      <c r="BE252" s="581"/>
      <c r="BF252" s="581"/>
      <c r="BG252" s="581"/>
      <c r="BH252" s="581"/>
      <c r="BI252" s="581"/>
      <c r="BJ252" s="581"/>
      <c r="BK252" s="581"/>
      <c r="BL252" s="581"/>
      <c r="BM252" s="581"/>
      <c r="BN252" s="581"/>
      <c r="BO252" s="581"/>
      <c r="BP252" s="581"/>
      <c r="BQ252" s="581"/>
      <c r="BR252" s="581"/>
      <c r="BS252" s="581"/>
      <c r="BT252" s="581"/>
      <c r="BU252" s="581"/>
      <c r="BV252" s="581"/>
      <c r="BW252" s="581"/>
      <c r="BX252" s="581"/>
      <c r="BY252" s="581"/>
      <c r="BZ252" s="581"/>
      <c r="CA252" s="581"/>
      <c r="CB252" s="581"/>
      <c r="CC252" s="581"/>
      <c r="CD252" s="581"/>
      <c r="CE252" s="581"/>
      <c r="CF252" s="581"/>
      <c r="CG252" s="581"/>
      <c r="CH252" s="581"/>
      <c r="CI252" s="581"/>
      <c r="CJ252" s="581"/>
      <c r="CK252" s="581"/>
      <c r="CL252" s="581"/>
      <c r="CM252" s="581"/>
      <c r="CN252" s="581"/>
      <c r="CO252" s="581"/>
      <c r="CP252" s="581"/>
      <c r="CQ252" s="581"/>
      <c r="CR252" s="581"/>
      <c r="CS252" s="581"/>
      <c r="CT252" s="581"/>
      <c r="CU252" s="581"/>
      <c r="CV252" s="581"/>
      <c r="CW252" s="581"/>
      <c r="CX252" s="581"/>
      <c r="CY252" s="581"/>
      <c r="CZ252" s="581"/>
      <c r="DA252" s="581"/>
      <c r="DB252" s="581"/>
      <c r="DC252" s="581"/>
      <c r="DD252" s="581"/>
      <c r="DE252" s="581"/>
      <c r="DF252" s="581"/>
      <c r="DG252" s="581"/>
      <c r="DH252" s="581"/>
      <c r="DI252" s="581"/>
      <c r="DJ252" s="581"/>
      <c r="DK252" s="581"/>
      <c r="DL252" s="581"/>
      <c r="DM252" s="581"/>
      <c r="DN252" s="581"/>
      <c r="DO252" s="581"/>
      <c r="DP252" s="581"/>
      <c r="DQ252" s="581"/>
      <c r="DR252" s="581"/>
      <c r="DS252" s="581"/>
      <c r="DT252" s="581"/>
      <c r="DU252" s="581"/>
      <c r="DV252" s="581"/>
      <c r="DW252" s="581"/>
      <c r="DX252" s="581"/>
      <c r="DY252" s="581"/>
      <c r="DZ252" s="581"/>
      <c r="EA252" s="581"/>
      <c r="EB252" s="581"/>
      <c r="EC252" s="581"/>
      <c r="ED252" s="581"/>
      <c r="EE252" s="581"/>
      <c r="EF252" s="581"/>
      <c r="EG252" s="581"/>
      <c r="EH252" s="581"/>
      <c r="EI252" s="581"/>
      <c r="EJ252" s="581"/>
    </row>
    <row r="253" spans="1:140" ht="22.5">
      <c r="A253" s="642" t="s">
        <v>25</v>
      </c>
      <c r="B253" s="758"/>
      <c r="C253" s="758"/>
      <c r="D253" s="758"/>
      <c r="E253" s="849"/>
      <c r="F253" s="734"/>
      <c r="G253" s="597"/>
      <c r="H253" s="544"/>
      <c r="I253" s="544"/>
      <c r="J253" s="596"/>
      <c r="K253" s="575"/>
      <c r="L253" s="569"/>
      <c r="M253" s="569"/>
      <c r="N253" s="569"/>
      <c r="O253" s="569"/>
      <c r="AG253" s="578"/>
      <c r="AH253" s="578"/>
      <c r="AI253" s="578"/>
      <c r="AJ253" s="578"/>
      <c r="AK253" s="578"/>
      <c r="AL253" s="579"/>
      <c r="AM253" s="580"/>
      <c r="AN253" s="581"/>
      <c r="AO253" s="581"/>
      <c r="AP253" s="579"/>
      <c r="AQ253" s="582"/>
      <c r="AR253" s="581"/>
      <c r="AS253" s="581"/>
      <c r="AT253" s="581"/>
      <c r="AU253" s="581"/>
      <c r="AV253" s="581"/>
      <c r="AW253" s="581"/>
      <c r="AX253" s="581"/>
      <c r="AY253" s="581"/>
      <c r="AZ253" s="581"/>
      <c r="BA253" s="581"/>
      <c r="BB253" s="581"/>
      <c r="BC253" s="581"/>
      <c r="BD253" s="581"/>
      <c r="BE253" s="581"/>
      <c r="BF253" s="581"/>
      <c r="BG253" s="581"/>
      <c r="BH253" s="581"/>
      <c r="BI253" s="581"/>
      <c r="BJ253" s="581"/>
      <c r="BK253" s="581"/>
      <c r="BL253" s="581"/>
      <c r="BM253" s="581"/>
      <c r="BN253" s="581"/>
      <c r="BO253" s="581"/>
      <c r="BP253" s="581"/>
      <c r="BQ253" s="581"/>
      <c r="BR253" s="581"/>
      <c r="BS253" s="581"/>
      <c r="BT253" s="581"/>
      <c r="BU253" s="581"/>
      <c r="BV253" s="581"/>
      <c r="BW253" s="581"/>
      <c r="BX253" s="581"/>
      <c r="BY253" s="581"/>
      <c r="BZ253" s="581"/>
      <c r="CA253" s="581"/>
      <c r="CB253" s="581"/>
      <c r="CC253" s="581"/>
      <c r="CD253" s="581"/>
      <c r="CE253" s="581"/>
      <c r="CF253" s="581"/>
      <c r="CG253" s="581"/>
      <c r="CH253" s="581"/>
      <c r="CI253" s="581"/>
      <c r="CJ253" s="581"/>
      <c r="CK253" s="581"/>
      <c r="CL253" s="581"/>
      <c r="CM253" s="581"/>
      <c r="CN253" s="581"/>
      <c r="CO253" s="581"/>
      <c r="CP253" s="581"/>
      <c r="CQ253" s="581"/>
      <c r="CR253" s="581"/>
      <c r="CS253" s="581"/>
      <c r="CT253" s="581"/>
      <c r="CU253" s="581"/>
      <c r="CV253" s="581"/>
      <c r="CW253" s="581"/>
      <c r="CX253" s="581"/>
      <c r="CY253" s="581"/>
      <c r="CZ253" s="581"/>
      <c r="DA253" s="581"/>
      <c r="DB253" s="581"/>
      <c r="DC253" s="581"/>
      <c r="DD253" s="581"/>
      <c r="DE253" s="581"/>
      <c r="DF253" s="581"/>
      <c r="DG253" s="581"/>
      <c r="DH253" s="581"/>
      <c r="DI253" s="581"/>
      <c r="DJ253" s="581"/>
      <c r="DK253" s="581"/>
      <c r="DL253" s="581"/>
      <c r="DM253" s="581"/>
      <c r="DN253" s="581"/>
      <c r="DO253" s="581"/>
      <c r="DP253" s="581"/>
      <c r="DQ253" s="581"/>
      <c r="DR253" s="581"/>
      <c r="DS253" s="581"/>
      <c r="DT253" s="581"/>
      <c r="DU253" s="581"/>
      <c r="DV253" s="581"/>
      <c r="DW253" s="581"/>
      <c r="DX253" s="581"/>
      <c r="DY253" s="581"/>
      <c r="DZ253" s="581"/>
      <c r="EA253" s="581"/>
      <c r="EB253" s="581"/>
      <c r="EC253" s="581"/>
      <c r="ED253" s="581"/>
      <c r="EE253" s="581"/>
      <c r="EF253" s="581"/>
      <c r="EG253" s="581"/>
      <c r="EH253" s="581"/>
      <c r="EI253" s="581"/>
      <c r="EJ253" s="581"/>
    </row>
    <row r="254" spans="1:140" ht="75">
      <c r="A254" s="694" t="s">
        <v>104</v>
      </c>
      <c r="B254" s="758"/>
      <c r="C254" s="758"/>
      <c r="D254" s="758"/>
      <c r="E254" s="849"/>
      <c r="F254" s="734"/>
      <c r="G254" s="597"/>
      <c r="H254" s="544"/>
      <c r="I254" s="544"/>
      <c r="J254" s="596"/>
      <c r="K254" s="575"/>
      <c r="L254" s="569"/>
      <c r="M254" s="569"/>
      <c r="N254" s="569"/>
      <c r="O254" s="569"/>
      <c r="AG254" s="578"/>
      <c r="AH254" s="578"/>
      <c r="AI254" s="578"/>
      <c r="AJ254" s="578"/>
      <c r="AK254" s="578"/>
      <c r="AL254" s="579"/>
      <c r="AM254" s="580"/>
      <c r="AN254" s="581"/>
      <c r="AO254" s="581"/>
      <c r="AP254" s="579"/>
      <c r="AQ254" s="582"/>
      <c r="AR254" s="581"/>
      <c r="AS254" s="581"/>
      <c r="AT254" s="581"/>
      <c r="AU254" s="581"/>
      <c r="AV254" s="581"/>
      <c r="AW254" s="581"/>
      <c r="AX254" s="581"/>
      <c r="AY254" s="581"/>
      <c r="AZ254" s="581"/>
      <c r="BA254" s="581"/>
      <c r="BB254" s="581"/>
      <c r="BC254" s="581"/>
      <c r="BD254" s="581"/>
      <c r="BE254" s="581"/>
      <c r="BF254" s="581"/>
      <c r="BG254" s="581"/>
      <c r="BH254" s="581"/>
      <c r="BI254" s="581"/>
      <c r="BJ254" s="581"/>
      <c r="BK254" s="581"/>
      <c r="BL254" s="581"/>
      <c r="BM254" s="581"/>
      <c r="BN254" s="581"/>
      <c r="BO254" s="581"/>
      <c r="BP254" s="581"/>
      <c r="BQ254" s="581"/>
      <c r="BR254" s="581"/>
      <c r="BS254" s="581"/>
      <c r="BT254" s="581"/>
      <c r="BU254" s="581"/>
      <c r="BV254" s="581"/>
      <c r="BW254" s="581"/>
      <c r="BX254" s="581"/>
      <c r="BY254" s="581"/>
      <c r="BZ254" s="581"/>
      <c r="CA254" s="581"/>
      <c r="CB254" s="581"/>
      <c r="CC254" s="581"/>
      <c r="CD254" s="581"/>
      <c r="CE254" s="581"/>
      <c r="CF254" s="581"/>
      <c r="CG254" s="581"/>
      <c r="CH254" s="581"/>
      <c r="CI254" s="581"/>
      <c r="CJ254" s="581"/>
      <c r="CK254" s="581"/>
      <c r="CL254" s="581"/>
      <c r="CM254" s="581"/>
      <c r="CN254" s="581"/>
      <c r="CO254" s="581"/>
      <c r="CP254" s="581"/>
      <c r="CQ254" s="581"/>
      <c r="CR254" s="581"/>
      <c r="CS254" s="581"/>
      <c r="CT254" s="581"/>
      <c r="CU254" s="581"/>
      <c r="CV254" s="581"/>
      <c r="CW254" s="581"/>
      <c r="CX254" s="581"/>
      <c r="CY254" s="581"/>
      <c r="CZ254" s="581"/>
      <c r="DA254" s="581"/>
      <c r="DB254" s="581"/>
      <c r="DC254" s="581"/>
      <c r="DD254" s="581"/>
      <c r="DE254" s="581"/>
      <c r="DF254" s="581"/>
      <c r="DG254" s="581"/>
      <c r="DH254" s="581"/>
      <c r="DI254" s="581"/>
      <c r="DJ254" s="581"/>
      <c r="DK254" s="581"/>
      <c r="DL254" s="581"/>
      <c r="DM254" s="581"/>
      <c r="DN254" s="581"/>
      <c r="DO254" s="581"/>
      <c r="DP254" s="581"/>
      <c r="DQ254" s="581"/>
      <c r="DR254" s="581"/>
      <c r="DS254" s="581"/>
      <c r="DT254" s="581"/>
      <c r="DU254" s="581"/>
      <c r="DV254" s="581"/>
      <c r="DW254" s="581"/>
      <c r="DX254" s="581"/>
      <c r="DY254" s="581"/>
      <c r="DZ254" s="581"/>
      <c r="EA254" s="581"/>
      <c r="EB254" s="581"/>
      <c r="EC254" s="581"/>
      <c r="ED254" s="581"/>
      <c r="EE254" s="581"/>
      <c r="EF254" s="581"/>
      <c r="EG254" s="581"/>
      <c r="EH254" s="581"/>
      <c r="EI254" s="581"/>
      <c r="EJ254" s="581"/>
    </row>
    <row r="255" spans="1:140" ht="24.75">
      <c r="A255" s="694"/>
      <c r="B255" s="758"/>
      <c r="C255" s="758"/>
      <c r="D255" s="758"/>
      <c r="E255" s="849"/>
      <c r="F255" s="734"/>
      <c r="G255" s="597"/>
      <c r="H255" s="544"/>
      <c r="I255" s="544"/>
      <c r="J255" s="596"/>
      <c r="K255" s="575"/>
      <c r="L255" s="569"/>
      <c r="M255" s="569"/>
      <c r="N255" s="569"/>
      <c r="O255" s="569"/>
      <c r="AG255" s="578"/>
      <c r="AH255" s="578"/>
      <c r="AI255" s="578"/>
      <c r="AJ255" s="578"/>
      <c r="AK255" s="578"/>
      <c r="AL255" s="579"/>
      <c r="AM255" s="580"/>
      <c r="AN255" s="581"/>
      <c r="AO255" s="581"/>
      <c r="AP255" s="579"/>
      <c r="AQ255" s="582"/>
      <c r="AR255" s="581"/>
      <c r="AS255" s="581"/>
      <c r="AT255" s="581"/>
      <c r="AU255" s="581"/>
      <c r="AV255" s="581"/>
      <c r="AW255" s="581"/>
      <c r="AX255" s="581"/>
      <c r="AY255" s="581"/>
      <c r="AZ255" s="581"/>
      <c r="BA255" s="581"/>
      <c r="BB255" s="581"/>
      <c r="BC255" s="581"/>
      <c r="BD255" s="581"/>
      <c r="BE255" s="581"/>
      <c r="BF255" s="581"/>
      <c r="BG255" s="581"/>
      <c r="BH255" s="581"/>
      <c r="BI255" s="581"/>
      <c r="BJ255" s="581"/>
      <c r="BK255" s="581"/>
      <c r="BL255" s="581"/>
      <c r="BM255" s="581"/>
      <c r="BN255" s="581"/>
      <c r="BO255" s="581"/>
      <c r="BP255" s="581"/>
      <c r="BQ255" s="581"/>
      <c r="BR255" s="581"/>
      <c r="BS255" s="581"/>
      <c r="BT255" s="581"/>
      <c r="BU255" s="581"/>
      <c r="BV255" s="581"/>
      <c r="BW255" s="581"/>
      <c r="BX255" s="581"/>
      <c r="BY255" s="581"/>
      <c r="BZ255" s="581"/>
      <c r="CA255" s="581"/>
      <c r="CB255" s="581"/>
      <c r="CC255" s="581"/>
      <c r="CD255" s="581"/>
      <c r="CE255" s="581"/>
      <c r="CF255" s="581"/>
      <c r="CG255" s="581"/>
      <c r="CH255" s="581"/>
      <c r="CI255" s="581"/>
      <c r="CJ255" s="581"/>
      <c r="CK255" s="581"/>
      <c r="CL255" s="581"/>
      <c r="CM255" s="581"/>
      <c r="CN255" s="581"/>
      <c r="CO255" s="581"/>
      <c r="CP255" s="581"/>
      <c r="CQ255" s="581"/>
      <c r="CR255" s="581"/>
      <c r="CS255" s="581"/>
      <c r="CT255" s="581"/>
      <c r="CU255" s="581"/>
      <c r="CV255" s="581"/>
      <c r="CW255" s="581"/>
      <c r="CX255" s="581"/>
      <c r="CY255" s="581"/>
      <c r="CZ255" s="581"/>
      <c r="DA255" s="581"/>
      <c r="DB255" s="581"/>
      <c r="DC255" s="581"/>
      <c r="DD255" s="581"/>
      <c r="DE255" s="581"/>
      <c r="DF255" s="581"/>
      <c r="DG255" s="581"/>
      <c r="DH255" s="581"/>
      <c r="DI255" s="581"/>
      <c r="DJ255" s="581"/>
      <c r="DK255" s="581"/>
      <c r="DL255" s="581"/>
      <c r="DM255" s="581"/>
      <c r="DN255" s="581"/>
      <c r="DO255" s="581"/>
      <c r="DP255" s="581"/>
      <c r="DQ255" s="581"/>
      <c r="DR255" s="581"/>
      <c r="DS255" s="581"/>
      <c r="DT255" s="581"/>
      <c r="DU255" s="581"/>
      <c r="DV255" s="581"/>
      <c r="DW255" s="581"/>
      <c r="DX255" s="581"/>
      <c r="DY255" s="581"/>
      <c r="DZ255" s="581"/>
      <c r="EA255" s="581"/>
      <c r="EB255" s="581"/>
      <c r="EC255" s="581"/>
      <c r="ED255" s="581"/>
      <c r="EE255" s="581"/>
      <c r="EF255" s="581"/>
      <c r="EG255" s="581"/>
      <c r="EH255" s="581"/>
      <c r="EI255" s="581"/>
      <c r="EJ255" s="581"/>
    </row>
    <row r="256" spans="1:140" ht="15">
      <c r="A256" s="812" t="s">
        <v>2</v>
      </c>
      <c r="B256" s="758"/>
      <c r="C256" s="758"/>
      <c r="D256" s="758"/>
      <c r="E256" s="849"/>
      <c r="F256" s="734">
        <v>4300000</v>
      </c>
      <c r="G256" s="661"/>
      <c r="H256" s="662"/>
      <c r="I256" s="662"/>
      <c r="J256" s="660">
        <v>716667</v>
      </c>
      <c r="K256" s="575"/>
      <c r="L256" s="569"/>
      <c r="M256" s="569"/>
      <c r="N256" s="569"/>
      <c r="O256" s="569"/>
      <c r="AG256" s="578"/>
      <c r="AH256" s="578"/>
      <c r="AI256" s="578"/>
      <c r="AJ256" s="578"/>
      <c r="AK256" s="578"/>
      <c r="AL256" s="579"/>
      <c r="AM256" s="580"/>
      <c r="AN256" s="581"/>
      <c r="AO256" s="581"/>
      <c r="AP256" s="579"/>
      <c r="AQ256" s="582"/>
      <c r="AR256" s="581"/>
      <c r="AS256" s="581"/>
      <c r="AT256" s="581"/>
      <c r="AU256" s="581"/>
      <c r="AV256" s="581"/>
      <c r="AW256" s="581"/>
      <c r="AX256" s="581"/>
      <c r="AY256" s="581"/>
      <c r="AZ256" s="581"/>
      <c r="BA256" s="581"/>
      <c r="BB256" s="581"/>
      <c r="BC256" s="581"/>
      <c r="BD256" s="581"/>
      <c r="BE256" s="581"/>
      <c r="BF256" s="581"/>
      <c r="BG256" s="581"/>
      <c r="BH256" s="581"/>
      <c r="BI256" s="581"/>
      <c r="BJ256" s="581"/>
      <c r="BK256" s="581"/>
      <c r="BL256" s="581"/>
      <c r="BM256" s="581"/>
      <c r="BN256" s="581"/>
      <c r="BO256" s="581"/>
      <c r="BP256" s="581"/>
      <c r="BQ256" s="581"/>
      <c r="BR256" s="581"/>
      <c r="BS256" s="581"/>
      <c r="BT256" s="581"/>
      <c r="BU256" s="581"/>
      <c r="BV256" s="581"/>
      <c r="BW256" s="581"/>
      <c r="BX256" s="581"/>
      <c r="BY256" s="581"/>
      <c r="BZ256" s="581"/>
      <c r="CA256" s="581"/>
      <c r="CB256" s="581"/>
      <c r="CC256" s="581"/>
      <c r="CD256" s="581"/>
      <c r="CE256" s="581"/>
      <c r="CF256" s="581"/>
      <c r="CG256" s="581"/>
      <c r="CH256" s="581"/>
      <c r="CI256" s="581"/>
      <c r="CJ256" s="581"/>
      <c r="CK256" s="581"/>
      <c r="CL256" s="581"/>
      <c r="CM256" s="581"/>
      <c r="CN256" s="581"/>
      <c r="CO256" s="581"/>
      <c r="CP256" s="581"/>
      <c r="CQ256" s="581"/>
      <c r="CR256" s="581"/>
      <c r="CS256" s="581"/>
      <c r="CT256" s="581"/>
      <c r="CU256" s="581"/>
      <c r="CV256" s="581"/>
      <c r="CW256" s="581"/>
      <c r="CX256" s="581"/>
      <c r="CY256" s="581"/>
      <c r="CZ256" s="581"/>
      <c r="DA256" s="581"/>
      <c r="DB256" s="581"/>
      <c r="DC256" s="581"/>
      <c r="DD256" s="581"/>
      <c r="DE256" s="581"/>
      <c r="DF256" s="581"/>
      <c r="DG256" s="581"/>
      <c r="DH256" s="581"/>
      <c r="DI256" s="581"/>
      <c r="DJ256" s="581"/>
      <c r="DK256" s="581"/>
      <c r="DL256" s="581"/>
      <c r="DM256" s="581"/>
      <c r="DN256" s="581"/>
      <c r="DO256" s="581"/>
      <c r="DP256" s="581"/>
      <c r="DQ256" s="581"/>
      <c r="DR256" s="581"/>
      <c r="DS256" s="581"/>
      <c r="DT256" s="581"/>
      <c r="DU256" s="581"/>
      <c r="DV256" s="581"/>
      <c r="DW256" s="581"/>
      <c r="DX256" s="581"/>
      <c r="DY256" s="581"/>
      <c r="DZ256" s="581"/>
      <c r="EA256" s="581"/>
      <c r="EB256" s="581"/>
      <c r="EC256" s="581"/>
      <c r="ED256" s="581"/>
      <c r="EE256" s="581"/>
      <c r="EF256" s="581"/>
      <c r="EG256" s="581"/>
      <c r="EH256" s="581"/>
      <c r="EI256" s="581"/>
      <c r="EJ256" s="581"/>
    </row>
    <row r="257" spans="1:140" ht="15">
      <c r="A257" s="812" t="s">
        <v>3</v>
      </c>
      <c r="B257" s="758"/>
      <c r="C257" s="758"/>
      <c r="D257" s="758"/>
      <c r="E257" s="849"/>
      <c r="F257" s="734">
        <v>1000000</v>
      </c>
      <c r="G257" s="661"/>
      <c r="H257" s="662"/>
      <c r="I257" s="662"/>
      <c r="J257" s="660">
        <v>166667</v>
      </c>
      <c r="K257" s="575"/>
      <c r="L257" s="569"/>
      <c r="M257" s="569"/>
      <c r="N257" s="569"/>
      <c r="O257" s="569"/>
      <c r="AG257" s="578"/>
      <c r="AH257" s="578"/>
      <c r="AI257" s="578"/>
      <c r="AJ257" s="578"/>
      <c r="AK257" s="578"/>
      <c r="AL257" s="579"/>
      <c r="AM257" s="580"/>
      <c r="AN257" s="581"/>
      <c r="AO257" s="581"/>
      <c r="AP257" s="579"/>
      <c r="AQ257" s="582"/>
      <c r="AR257" s="581"/>
      <c r="AS257" s="581"/>
      <c r="AT257" s="581"/>
      <c r="AU257" s="581"/>
      <c r="AV257" s="581"/>
      <c r="AW257" s="581"/>
      <c r="AX257" s="581"/>
      <c r="AY257" s="581"/>
      <c r="AZ257" s="581"/>
      <c r="BA257" s="581"/>
      <c r="BB257" s="581"/>
      <c r="BC257" s="581"/>
      <c r="BD257" s="581"/>
      <c r="BE257" s="581"/>
      <c r="BF257" s="581"/>
      <c r="BG257" s="581"/>
      <c r="BH257" s="581"/>
      <c r="BI257" s="581"/>
      <c r="BJ257" s="581"/>
      <c r="BK257" s="581"/>
      <c r="BL257" s="581"/>
      <c r="BM257" s="581"/>
      <c r="BN257" s="581"/>
      <c r="BO257" s="581"/>
      <c r="BP257" s="581"/>
      <c r="BQ257" s="581"/>
      <c r="BR257" s="581"/>
      <c r="BS257" s="581"/>
      <c r="BT257" s="581"/>
      <c r="BU257" s="581"/>
      <c r="BV257" s="581"/>
      <c r="BW257" s="581"/>
      <c r="BX257" s="581"/>
      <c r="BY257" s="581"/>
      <c r="BZ257" s="581"/>
      <c r="CA257" s="581"/>
      <c r="CB257" s="581"/>
      <c r="CC257" s="581"/>
      <c r="CD257" s="581"/>
      <c r="CE257" s="581"/>
      <c r="CF257" s="581"/>
      <c r="CG257" s="581"/>
      <c r="CH257" s="581"/>
      <c r="CI257" s="581"/>
      <c r="CJ257" s="581"/>
      <c r="CK257" s="581"/>
      <c r="CL257" s="581"/>
      <c r="CM257" s="581"/>
      <c r="CN257" s="581"/>
      <c r="CO257" s="581"/>
      <c r="CP257" s="581"/>
      <c r="CQ257" s="581"/>
      <c r="CR257" s="581"/>
      <c r="CS257" s="581"/>
      <c r="CT257" s="581"/>
      <c r="CU257" s="581"/>
      <c r="CV257" s="581"/>
      <c r="CW257" s="581"/>
      <c r="CX257" s="581"/>
      <c r="CY257" s="581"/>
      <c r="CZ257" s="581"/>
      <c r="DA257" s="581"/>
      <c r="DB257" s="581"/>
      <c r="DC257" s="581"/>
      <c r="DD257" s="581"/>
      <c r="DE257" s="581"/>
      <c r="DF257" s="581"/>
      <c r="DG257" s="581"/>
      <c r="DH257" s="581"/>
      <c r="DI257" s="581"/>
      <c r="DJ257" s="581"/>
      <c r="DK257" s="581"/>
      <c r="DL257" s="581"/>
      <c r="DM257" s="581"/>
      <c r="DN257" s="581"/>
      <c r="DO257" s="581"/>
      <c r="DP257" s="581"/>
      <c r="DQ257" s="581"/>
      <c r="DR257" s="581"/>
      <c r="DS257" s="581"/>
      <c r="DT257" s="581"/>
      <c r="DU257" s="581"/>
      <c r="DV257" s="581"/>
      <c r="DW257" s="581"/>
      <c r="DX257" s="581"/>
      <c r="DY257" s="581"/>
      <c r="DZ257" s="581"/>
      <c r="EA257" s="581"/>
      <c r="EB257" s="581"/>
      <c r="EC257" s="581"/>
      <c r="ED257" s="581"/>
      <c r="EE257" s="581"/>
      <c r="EF257" s="581"/>
      <c r="EG257" s="581"/>
      <c r="EH257" s="581"/>
      <c r="EI257" s="581"/>
      <c r="EJ257" s="581"/>
    </row>
    <row r="258" spans="1:140" ht="15">
      <c r="A258" s="600" t="s">
        <v>25</v>
      </c>
      <c r="B258" s="758"/>
      <c r="C258" s="758"/>
      <c r="D258" s="758"/>
      <c r="E258" s="849"/>
      <c r="F258" s="734"/>
      <c r="G258" s="661"/>
      <c r="H258" s="662"/>
      <c r="I258" s="662"/>
      <c r="J258" s="660"/>
      <c r="K258" s="575"/>
      <c r="L258" s="569"/>
      <c r="M258" s="569"/>
      <c r="N258" s="569"/>
      <c r="O258" s="569"/>
      <c r="AG258" s="578"/>
      <c r="AH258" s="578"/>
      <c r="AI258" s="578"/>
      <c r="AJ258" s="578"/>
      <c r="AK258" s="578"/>
      <c r="AL258" s="579"/>
      <c r="AM258" s="580"/>
      <c r="AN258" s="581"/>
      <c r="AO258" s="581"/>
      <c r="AP258" s="579"/>
      <c r="AQ258" s="582"/>
      <c r="AR258" s="581"/>
      <c r="AS258" s="581"/>
      <c r="AT258" s="581"/>
      <c r="AU258" s="581"/>
      <c r="AV258" s="581"/>
      <c r="AW258" s="581"/>
      <c r="AX258" s="581"/>
      <c r="AY258" s="581"/>
      <c r="AZ258" s="581"/>
      <c r="BA258" s="581"/>
      <c r="BB258" s="581"/>
      <c r="BC258" s="581"/>
      <c r="BD258" s="581"/>
      <c r="BE258" s="581"/>
      <c r="BF258" s="581"/>
      <c r="BG258" s="581"/>
      <c r="BH258" s="581"/>
      <c r="BI258" s="581"/>
      <c r="BJ258" s="581"/>
      <c r="BK258" s="581"/>
      <c r="BL258" s="581"/>
      <c r="BM258" s="581"/>
      <c r="BN258" s="581"/>
      <c r="BO258" s="581"/>
      <c r="BP258" s="581"/>
      <c r="BQ258" s="581"/>
      <c r="BR258" s="581"/>
      <c r="BS258" s="581"/>
      <c r="BT258" s="581"/>
      <c r="BU258" s="581"/>
      <c r="BV258" s="581"/>
      <c r="BW258" s="581"/>
      <c r="BX258" s="581"/>
      <c r="BY258" s="581"/>
      <c r="BZ258" s="581"/>
      <c r="CA258" s="581"/>
      <c r="CB258" s="581"/>
      <c r="CC258" s="581"/>
      <c r="CD258" s="581"/>
      <c r="CE258" s="581"/>
      <c r="CF258" s="581"/>
      <c r="CG258" s="581"/>
      <c r="CH258" s="581"/>
      <c r="CI258" s="581"/>
      <c r="CJ258" s="581"/>
      <c r="CK258" s="581"/>
      <c r="CL258" s="581"/>
      <c r="CM258" s="581"/>
      <c r="CN258" s="581"/>
      <c r="CO258" s="581"/>
      <c r="CP258" s="581"/>
      <c r="CQ258" s="581"/>
      <c r="CR258" s="581"/>
      <c r="CS258" s="581"/>
      <c r="CT258" s="581"/>
      <c r="CU258" s="581"/>
      <c r="CV258" s="581"/>
      <c r="CW258" s="581"/>
      <c r="CX258" s="581"/>
      <c r="CY258" s="581"/>
      <c r="CZ258" s="581"/>
      <c r="DA258" s="581"/>
      <c r="DB258" s="581"/>
      <c r="DC258" s="581"/>
      <c r="DD258" s="581"/>
      <c r="DE258" s="581"/>
      <c r="DF258" s="581"/>
      <c r="DG258" s="581"/>
      <c r="DH258" s="581"/>
      <c r="DI258" s="581"/>
      <c r="DJ258" s="581"/>
      <c r="DK258" s="581"/>
      <c r="DL258" s="581"/>
      <c r="DM258" s="581"/>
      <c r="DN258" s="581"/>
      <c r="DO258" s="581"/>
      <c r="DP258" s="581"/>
      <c r="DQ258" s="581"/>
      <c r="DR258" s="581"/>
      <c r="DS258" s="581"/>
      <c r="DT258" s="581"/>
      <c r="DU258" s="581"/>
      <c r="DV258" s="581"/>
      <c r="DW258" s="581"/>
      <c r="DX258" s="581"/>
      <c r="DY258" s="581"/>
      <c r="DZ258" s="581"/>
      <c r="EA258" s="581"/>
      <c r="EB258" s="581"/>
      <c r="EC258" s="581"/>
      <c r="ED258" s="581"/>
      <c r="EE258" s="581"/>
      <c r="EF258" s="581"/>
      <c r="EG258" s="581"/>
      <c r="EH258" s="581"/>
      <c r="EI258" s="581"/>
      <c r="EJ258" s="581"/>
    </row>
    <row r="259" spans="1:140" ht="15">
      <c r="A259" s="600"/>
      <c r="B259" s="600"/>
      <c r="C259" s="600"/>
      <c r="D259" s="600"/>
      <c r="E259" s="848"/>
      <c r="F259" s="601"/>
      <c r="G259" s="800"/>
      <c r="H259" s="569"/>
      <c r="I259" s="569"/>
      <c r="J259" s="734"/>
      <c r="K259" s="813"/>
      <c r="L259" s="813"/>
      <c r="M259" s="814"/>
      <c r="N259" s="814"/>
      <c r="O259" s="591"/>
      <c r="AG259" s="578"/>
      <c r="AH259" s="578"/>
      <c r="AI259" s="578"/>
      <c r="AJ259" s="578"/>
      <c r="AK259" s="578"/>
      <c r="AL259" s="579"/>
      <c r="AM259" s="580"/>
      <c r="AN259" s="581"/>
      <c r="AO259" s="581"/>
      <c r="AP259" s="579"/>
      <c r="AQ259" s="582"/>
      <c r="AR259" s="581"/>
      <c r="AS259" s="581"/>
      <c r="AT259" s="581"/>
      <c r="AU259" s="581"/>
      <c r="AV259" s="581"/>
      <c r="AW259" s="581"/>
      <c r="AX259" s="581"/>
      <c r="AY259" s="581"/>
      <c r="AZ259" s="581"/>
      <c r="BA259" s="581"/>
      <c r="BB259" s="581"/>
      <c r="BC259" s="581"/>
      <c r="BD259" s="581"/>
      <c r="BE259" s="581"/>
      <c r="BF259" s="581"/>
      <c r="BG259" s="581"/>
      <c r="BH259" s="581"/>
      <c r="BI259" s="581"/>
      <c r="BJ259" s="581"/>
      <c r="BK259" s="581"/>
      <c r="BL259" s="581"/>
      <c r="BM259" s="581"/>
      <c r="BN259" s="581"/>
      <c r="BO259" s="581"/>
      <c r="BP259" s="581"/>
      <c r="BQ259" s="581"/>
      <c r="BR259" s="581"/>
      <c r="BS259" s="581"/>
      <c r="BT259" s="581"/>
      <c r="BU259" s="581"/>
      <c r="BV259" s="581"/>
      <c r="BW259" s="581"/>
      <c r="BX259" s="581"/>
      <c r="BY259" s="581"/>
      <c r="BZ259" s="581"/>
      <c r="CA259" s="581"/>
      <c r="CB259" s="581"/>
      <c r="CC259" s="581"/>
      <c r="CD259" s="581"/>
      <c r="CE259" s="581"/>
      <c r="CF259" s="581"/>
      <c r="CG259" s="581"/>
      <c r="CH259" s="581"/>
      <c r="CI259" s="581"/>
      <c r="CJ259" s="581"/>
      <c r="CK259" s="581"/>
      <c r="CL259" s="581"/>
      <c r="CM259" s="581"/>
      <c r="CN259" s="581"/>
      <c r="CO259" s="581"/>
      <c r="CP259" s="581"/>
      <c r="CQ259" s="581"/>
      <c r="CR259" s="581"/>
      <c r="CS259" s="581"/>
      <c r="CT259" s="581"/>
      <c r="CU259" s="581"/>
      <c r="CV259" s="581"/>
      <c r="CW259" s="581"/>
      <c r="CX259" s="581"/>
      <c r="CY259" s="581"/>
      <c r="CZ259" s="581"/>
      <c r="DA259" s="581"/>
      <c r="DB259" s="581"/>
      <c r="DC259" s="581"/>
      <c r="DD259" s="581"/>
      <c r="DE259" s="581"/>
      <c r="DF259" s="581"/>
      <c r="DG259" s="581"/>
      <c r="DH259" s="581"/>
      <c r="DI259" s="581"/>
      <c r="DJ259" s="581"/>
      <c r="DK259" s="581"/>
      <c r="DL259" s="581"/>
      <c r="DM259" s="581"/>
      <c r="DN259" s="581"/>
      <c r="DO259" s="581"/>
      <c r="DP259" s="581"/>
      <c r="DQ259" s="581"/>
      <c r="DR259" s="581"/>
      <c r="DS259" s="581"/>
      <c r="DT259" s="581"/>
      <c r="DU259" s="581"/>
      <c r="DV259" s="581"/>
      <c r="DW259" s="581"/>
      <c r="DX259" s="581"/>
      <c r="DY259" s="581"/>
      <c r="DZ259" s="581"/>
      <c r="EA259" s="581"/>
      <c r="EB259" s="581"/>
      <c r="EC259" s="581"/>
      <c r="ED259" s="581"/>
      <c r="EE259" s="581"/>
      <c r="EF259" s="581"/>
      <c r="EG259" s="581"/>
      <c r="EH259" s="581"/>
      <c r="EI259" s="581"/>
      <c r="EJ259" s="581"/>
    </row>
    <row r="260" spans="1:140" ht="15">
      <c r="A260" s="700"/>
      <c r="B260" s="600"/>
      <c r="C260" s="600"/>
      <c r="D260" s="600"/>
      <c r="E260" s="848"/>
      <c r="F260" s="601"/>
      <c r="G260" s="580"/>
      <c r="H260" s="581"/>
      <c r="I260" s="581"/>
      <c r="J260" s="579"/>
      <c r="K260" s="813"/>
      <c r="L260" s="813"/>
      <c r="M260" s="814"/>
      <c r="N260" s="814"/>
      <c r="O260" s="591"/>
      <c r="AG260" s="578"/>
      <c r="AH260" s="578"/>
      <c r="AI260" s="578"/>
      <c r="AJ260" s="578"/>
      <c r="AK260" s="578"/>
      <c r="AL260" s="579"/>
      <c r="AM260" s="580"/>
      <c r="AN260" s="581"/>
      <c r="AO260" s="581"/>
      <c r="AP260" s="579"/>
      <c r="AQ260" s="582"/>
      <c r="AR260" s="581"/>
      <c r="AS260" s="581"/>
      <c r="AT260" s="581"/>
      <c r="AU260" s="581"/>
      <c r="AV260" s="581"/>
      <c r="AW260" s="581"/>
      <c r="AX260" s="581"/>
      <c r="AY260" s="581"/>
      <c r="AZ260" s="581"/>
      <c r="BA260" s="581"/>
      <c r="BB260" s="581"/>
      <c r="BC260" s="581"/>
      <c r="BD260" s="581"/>
      <c r="BE260" s="581"/>
      <c r="BF260" s="581"/>
      <c r="BG260" s="581"/>
      <c r="BH260" s="581"/>
      <c r="BI260" s="581"/>
      <c r="BJ260" s="581"/>
      <c r="BK260" s="581"/>
      <c r="BL260" s="581"/>
      <c r="BM260" s="581"/>
      <c r="BN260" s="581"/>
      <c r="BO260" s="581"/>
      <c r="BP260" s="581"/>
      <c r="BQ260" s="581"/>
      <c r="BR260" s="581"/>
      <c r="BS260" s="581"/>
      <c r="BT260" s="581"/>
      <c r="BU260" s="581"/>
      <c r="BV260" s="581"/>
      <c r="BW260" s="581"/>
      <c r="BX260" s="581"/>
      <c r="BY260" s="581"/>
      <c r="BZ260" s="581"/>
      <c r="CA260" s="581"/>
      <c r="CB260" s="581"/>
      <c r="CC260" s="581"/>
      <c r="CD260" s="581"/>
      <c r="CE260" s="581"/>
      <c r="CF260" s="581"/>
      <c r="CG260" s="581"/>
      <c r="CH260" s="581"/>
      <c r="CI260" s="581"/>
      <c r="CJ260" s="581"/>
      <c r="CK260" s="581"/>
      <c r="CL260" s="581"/>
      <c r="CM260" s="581"/>
      <c r="CN260" s="581"/>
      <c r="CO260" s="581"/>
      <c r="CP260" s="581"/>
      <c r="CQ260" s="581"/>
      <c r="CR260" s="581"/>
      <c r="CS260" s="581"/>
      <c r="CT260" s="581"/>
      <c r="CU260" s="581"/>
      <c r="CV260" s="581"/>
      <c r="CW260" s="581"/>
      <c r="CX260" s="581"/>
      <c r="CY260" s="581"/>
      <c r="CZ260" s="581"/>
      <c r="DA260" s="581"/>
      <c r="DB260" s="581"/>
      <c r="DC260" s="581"/>
      <c r="DD260" s="581"/>
      <c r="DE260" s="581"/>
      <c r="DF260" s="581"/>
      <c r="DG260" s="581"/>
      <c r="DH260" s="581"/>
      <c r="DI260" s="581"/>
      <c r="DJ260" s="581"/>
      <c r="DK260" s="581"/>
      <c r="DL260" s="581"/>
      <c r="DM260" s="581"/>
      <c r="DN260" s="581"/>
      <c r="DO260" s="581"/>
      <c r="DP260" s="581"/>
      <c r="DQ260" s="581"/>
      <c r="DR260" s="581"/>
      <c r="DS260" s="581"/>
      <c r="DT260" s="581"/>
      <c r="DU260" s="581"/>
      <c r="DV260" s="581"/>
      <c r="DW260" s="581"/>
      <c r="DX260" s="581"/>
      <c r="DY260" s="581"/>
      <c r="DZ260" s="581"/>
      <c r="EA260" s="581"/>
      <c r="EB260" s="581"/>
      <c r="EC260" s="581"/>
      <c r="ED260" s="581"/>
      <c r="EE260" s="581"/>
      <c r="EF260" s="581"/>
      <c r="EG260" s="581"/>
      <c r="EH260" s="581"/>
      <c r="EI260" s="581"/>
      <c r="EJ260" s="581"/>
    </row>
    <row r="261" spans="1:140" ht="15">
      <c r="A261" s="600"/>
      <c r="B261" s="600"/>
      <c r="C261" s="600"/>
      <c r="D261" s="600"/>
      <c r="E261" s="848"/>
      <c r="F261" s="601"/>
      <c r="G261" s="580"/>
      <c r="H261" s="581"/>
      <c r="I261" s="581"/>
      <c r="J261" s="579"/>
      <c r="K261" s="813"/>
      <c r="L261" s="813"/>
      <c r="M261" s="814"/>
      <c r="N261" s="814"/>
      <c r="O261" s="591"/>
      <c r="AG261" s="578"/>
      <c r="AH261" s="578"/>
      <c r="AI261" s="578"/>
      <c r="AJ261" s="578"/>
      <c r="AK261" s="578"/>
      <c r="AL261" s="579"/>
      <c r="AM261" s="580"/>
      <c r="AN261" s="581"/>
      <c r="AO261" s="581"/>
      <c r="AP261" s="579"/>
      <c r="AQ261" s="582"/>
      <c r="AR261" s="581"/>
      <c r="AS261" s="581"/>
      <c r="AT261" s="581"/>
      <c r="AU261" s="581"/>
      <c r="AV261" s="581"/>
      <c r="AW261" s="581"/>
      <c r="AX261" s="581"/>
      <c r="AY261" s="581"/>
      <c r="AZ261" s="581"/>
      <c r="BA261" s="581"/>
      <c r="BB261" s="581"/>
      <c r="BC261" s="581"/>
      <c r="BD261" s="581"/>
      <c r="BE261" s="581"/>
      <c r="BF261" s="581"/>
      <c r="BG261" s="581"/>
      <c r="BH261" s="581"/>
      <c r="BI261" s="581"/>
      <c r="BJ261" s="581"/>
      <c r="BK261" s="581"/>
      <c r="BL261" s="581"/>
      <c r="BM261" s="581"/>
      <c r="BN261" s="581"/>
      <c r="BO261" s="581"/>
      <c r="BP261" s="581"/>
      <c r="BQ261" s="581"/>
      <c r="BR261" s="581"/>
      <c r="BS261" s="581"/>
      <c r="BT261" s="581"/>
      <c r="BU261" s="581"/>
      <c r="BV261" s="581"/>
      <c r="BW261" s="581"/>
      <c r="BX261" s="581"/>
      <c r="BY261" s="581"/>
      <c r="BZ261" s="581"/>
      <c r="CA261" s="581"/>
      <c r="CB261" s="581"/>
      <c r="CC261" s="581"/>
      <c r="CD261" s="581"/>
      <c r="CE261" s="581"/>
      <c r="CF261" s="581"/>
      <c r="CG261" s="581"/>
      <c r="CH261" s="581"/>
      <c r="CI261" s="581"/>
      <c r="CJ261" s="581"/>
      <c r="CK261" s="581"/>
      <c r="CL261" s="581"/>
      <c r="CM261" s="581"/>
      <c r="CN261" s="581"/>
      <c r="CO261" s="581"/>
      <c r="CP261" s="581"/>
      <c r="CQ261" s="581"/>
      <c r="CR261" s="581"/>
      <c r="CS261" s="581"/>
      <c r="CT261" s="581"/>
      <c r="CU261" s="581"/>
      <c r="CV261" s="581"/>
      <c r="CW261" s="581"/>
      <c r="CX261" s="581"/>
      <c r="CY261" s="581"/>
      <c r="CZ261" s="581"/>
      <c r="DA261" s="581"/>
      <c r="DB261" s="581"/>
      <c r="DC261" s="581"/>
      <c r="DD261" s="581"/>
      <c r="DE261" s="581"/>
      <c r="DF261" s="581"/>
      <c r="DG261" s="581"/>
      <c r="DH261" s="581"/>
      <c r="DI261" s="581"/>
      <c r="DJ261" s="581"/>
      <c r="DK261" s="581"/>
      <c r="DL261" s="581"/>
      <c r="DM261" s="581"/>
      <c r="DN261" s="581"/>
      <c r="DO261" s="581"/>
      <c r="DP261" s="581"/>
      <c r="DQ261" s="581"/>
      <c r="DR261" s="581"/>
      <c r="DS261" s="581"/>
      <c r="DT261" s="581"/>
      <c r="DU261" s="581"/>
      <c r="DV261" s="581"/>
      <c r="DW261" s="581"/>
      <c r="DX261" s="581"/>
      <c r="DY261" s="581"/>
      <c r="DZ261" s="581"/>
      <c r="EA261" s="581"/>
      <c r="EB261" s="581"/>
      <c r="EC261" s="581"/>
      <c r="ED261" s="581"/>
      <c r="EE261" s="581"/>
      <c r="EF261" s="581"/>
      <c r="EG261" s="581"/>
      <c r="EH261" s="581"/>
      <c r="EI261" s="581"/>
      <c r="EJ261" s="581"/>
    </row>
    <row r="262" spans="1:140" ht="49.5">
      <c r="A262" s="664" t="s">
        <v>124</v>
      </c>
      <c r="B262" s="600"/>
      <c r="C262" s="600"/>
      <c r="D262" s="600"/>
      <c r="E262" s="848"/>
      <c r="F262" s="601"/>
      <c r="G262" s="580"/>
      <c r="H262" s="581"/>
      <c r="I262" s="581"/>
      <c r="J262" s="579"/>
      <c r="K262" s="813"/>
      <c r="L262" s="813"/>
      <c r="M262" s="814"/>
      <c r="N262" s="814"/>
      <c r="O262" s="591"/>
      <c r="AG262" s="578"/>
      <c r="AH262" s="578"/>
      <c r="AI262" s="578"/>
      <c r="AJ262" s="578"/>
      <c r="AK262" s="578"/>
      <c r="AL262" s="579"/>
      <c r="AM262" s="580"/>
      <c r="AN262" s="581"/>
      <c r="AO262" s="581"/>
      <c r="AP262" s="579"/>
      <c r="AQ262" s="582"/>
      <c r="AR262" s="581"/>
      <c r="AS262" s="581"/>
      <c r="AT262" s="581"/>
      <c r="AU262" s="581"/>
      <c r="AV262" s="581"/>
      <c r="AW262" s="581"/>
      <c r="AX262" s="581"/>
      <c r="AY262" s="581"/>
      <c r="AZ262" s="581"/>
      <c r="BA262" s="581"/>
      <c r="BB262" s="581"/>
      <c r="BC262" s="581"/>
      <c r="BD262" s="581"/>
      <c r="BE262" s="581"/>
      <c r="BF262" s="581"/>
      <c r="BG262" s="581"/>
      <c r="BH262" s="581"/>
      <c r="BI262" s="581"/>
      <c r="BJ262" s="581"/>
      <c r="BK262" s="581"/>
      <c r="BL262" s="581"/>
      <c r="BM262" s="581"/>
      <c r="BN262" s="581"/>
      <c r="BO262" s="581"/>
      <c r="BP262" s="581"/>
      <c r="BQ262" s="581"/>
      <c r="BR262" s="581"/>
      <c r="BS262" s="581"/>
      <c r="BT262" s="581"/>
      <c r="BU262" s="581"/>
      <c r="BV262" s="581"/>
      <c r="BW262" s="581"/>
      <c r="BX262" s="581"/>
      <c r="BY262" s="581"/>
      <c r="BZ262" s="581"/>
      <c r="CA262" s="581"/>
      <c r="CB262" s="581"/>
      <c r="CC262" s="581"/>
      <c r="CD262" s="581"/>
      <c r="CE262" s="581"/>
      <c r="CF262" s="581"/>
      <c r="CG262" s="581"/>
      <c r="CH262" s="581"/>
      <c r="CI262" s="581"/>
      <c r="CJ262" s="581"/>
      <c r="CK262" s="581"/>
      <c r="CL262" s="581"/>
      <c r="CM262" s="581"/>
      <c r="CN262" s="581"/>
      <c r="CO262" s="581"/>
      <c r="CP262" s="581"/>
      <c r="CQ262" s="581"/>
      <c r="CR262" s="581"/>
      <c r="CS262" s="581"/>
      <c r="CT262" s="581"/>
      <c r="CU262" s="581"/>
      <c r="CV262" s="581"/>
      <c r="CW262" s="581"/>
      <c r="CX262" s="581"/>
      <c r="CY262" s="581"/>
      <c r="CZ262" s="581"/>
      <c r="DA262" s="581"/>
      <c r="DB262" s="581"/>
      <c r="DC262" s="581"/>
      <c r="DD262" s="581"/>
      <c r="DE262" s="581"/>
      <c r="DF262" s="581"/>
      <c r="DG262" s="581"/>
      <c r="DH262" s="581"/>
      <c r="DI262" s="581"/>
      <c r="DJ262" s="581"/>
      <c r="DK262" s="581"/>
      <c r="DL262" s="581"/>
      <c r="DM262" s="581"/>
      <c r="DN262" s="581"/>
      <c r="DO262" s="581"/>
      <c r="DP262" s="581"/>
      <c r="DQ262" s="581"/>
      <c r="DR262" s="581"/>
      <c r="DS262" s="581"/>
      <c r="DT262" s="581"/>
      <c r="DU262" s="581"/>
      <c r="DV262" s="581"/>
      <c r="DW262" s="581"/>
      <c r="DX262" s="581"/>
      <c r="DY262" s="581"/>
      <c r="DZ262" s="581"/>
      <c r="EA262" s="581"/>
      <c r="EB262" s="581"/>
      <c r="EC262" s="581"/>
      <c r="ED262" s="581"/>
      <c r="EE262" s="581"/>
      <c r="EF262" s="581"/>
      <c r="EG262" s="581"/>
      <c r="EH262" s="581"/>
      <c r="EI262" s="581"/>
      <c r="EJ262" s="581"/>
    </row>
    <row r="263" spans="1:140" ht="19.5">
      <c r="A263" s="622"/>
      <c r="B263" s="600"/>
      <c r="C263" s="600"/>
      <c r="D263" s="600"/>
      <c r="E263" s="848"/>
      <c r="F263" s="601"/>
      <c r="G263" s="580"/>
      <c r="H263" s="581"/>
      <c r="I263" s="581"/>
      <c r="J263" s="579"/>
      <c r="K263" s="813"/>
      <c r="L263" s="813"/>
      <c r="M263" s="814"/>
      <c r="N263" s="814"/>
      <c r="O263" s="591"/>
      <c r="AG263" s="578"/>
      <c r="AH263" s="578"/>
      <c r="AI263" s="578"/>
      <c r="AJ263" s="578"/>
      <c r="AK263" s="578"/>
      <c r="AL263" s="579"/>
      <c r="AM263" s="580"/>
      <c r="AN263" s="581"/>
      <c r="AO263" s="581"/>
      <c r="AP263" s="579"/>
      <c r="AQ263" s="582"/>
      <c r="AR263" s="581"/>
      <c r="AS263" s="581"/>
      <c r="AT263" s="581"/>
      <c r="AU263" s="581"/>
      <c r="AV263" s="581"/>
      <c r="AW263" s="581"/>
      <c r="AX263" s="581"/>
      <c r="AY263" s="581"/>
      <c r="AZ263" s="581"/>
      <c r="BA263" s="581"/>
      <c r="BB263" s="581"/>
      <c r="BC263" s="581"/>
      <c r="BD263" s="581"/>
      <c r="BE263" s="581"/>
      <c r="BF263" s="581"/>
      <c r="BG263" s="581"/>
      <c r="BH263" s="581"/>
      <c r="BI263" s="581"/>
      <c r="BJ263" s="581"/>
      <c r="BK263" s="581"/>
      <c r="BL263" s="581"/>
      <c r="BM263" s="581"/>
      <c r="BN263" s="581"/>
      <c r="BO263" s="581"/>
      <c r="BP263" s="581"/>
      <c r="BQ263" s="581"/>
      <c r="BR263" s="581"/>
      <c r="BS263" s="581"/>
      <c r="BT263" s="581"/>
      <c r="BU263" s="581"/>
      <c r="BV263" s="581"/>
      <c r="BW263" s="581"/>
      <c r="BX263" s="581"/>
      <c r="BY263" s="581"/>
      <c r="BZ263" s="581"/>
      <c r="CA263" s="581"/>
      <c r="CB263" s="581"/>
      <c r="CC263" s="581"/>
      <c r="CD263" s="581"/>
      <c r="CE263" s="581"/>
      <c r="CF263" s="581"/>
      <c r="CG263" s="581"/>
      <c r="CH263" s="581"/>
      <c r="CI263" s="581"/>
      <c r="CJ263" s="581"/>
      <c r="CK263" s="581"/>
      <c r="CL263" s="581"/>
      <c r="CM263" s="581"/>
      <c r="CN263" s="581"/>
      <c r="CO263" s="581"/>
      <c r="CP263" s="581"/>
      <c r="CQ263" s="581"/>
      <c r="CR263" s="581"/>
      <c r="CS263" s="581"/>
      <c r="CT263" s="581"/>
      <c r="CU263" s="581"/>
      <c r="CV263" s="581"/>
      <c r="CW263" s="581"/>
      <c r="CX263" s="581"/>
      <c r="CY263" s="581"/>
      <c r="CZ263" s="581"/>
      <c r="DA263" s="581"/>
      <c r="DB263" s="581"/>
      <c r="DC263" s="581"/>
      <c r="DD263" s="581"/>
      <c r="DE263" s="581"/>
      <c r="DF263" s="581"/>
      <c r="DG263" s="581"/>
      <c r="DH263" s="581"/>
      <c r="DI263" s="581"/>
      <c r="DJ263" s="581"/>
      <c r="DK263" s="581"/>
      <c r="DL263" s="581"/>
      <c r="DM263" s="581"/>
      <c r="DN263" s="581"/>
      <c r="DO263" s="581"/>
      <c r="DP263" s="581"/>
      <c r="DQ263" s="581"/>
      <c r="DR263" s="581"/>
      <c r="DS263" s="581"/>
      <c r="DT263" s="581"/>
      <c r="DU263" s="581"/>
      <c r="DV263" s="581"/>
      <c r="DW263" s="581"/>
      <c r="DX263" s="581"/>
      <c r="DY263" s="581"/>
      <c r="DZ263" s="581"/>
      <c r="EA263" s="581"/>
      <c r="EB263" s="581"/>
      <c r="EC263" s="581"/>
      <c r="ED263" s="581"/>
      <c r="EE263" s="581"/>
      <c r="EF263" s="581"/>
      <c r="EG263" s="581"/>
      <c r="EH263" s="581"/>
      <c r="EI263" s="581"/>
      <c r="EJ263" s="581"/>
    </row>
    <row r="264" spans="1:140" ht="15.75" thickBot="1">
      <c r="A264" s="741"/>
      <c r="B264" s="600"/>
      <c r="C264" s="600"/>
      <c r="D264" s="600"/>
      <c r="E264" s="848"/>
      <c r="F264" s="601"/>
      <c r="G264" s="580"/>
      <c r="H264" s="581"/>
      <c r="I264" s="581"/>
      <c r="J264" s="579"/>
      <c r="K264" s="813"/>
      <c r="L264" s="813"/>
      <c r="M264" s="814"/>
      <c r="N264" s="814"/>
      <c r="O264" s="591"/>
      <c r="AG264" s="578"/>
      <c r="AH264" s="578"/>
      <c r="AI264" s="578"/>
      <c r="AJ264" s="578"/>
      <c r="AK264" s="578"/>
      <c r="AL264" s="579"/>
      <c r="AM264" s="580"/>
      <c r="AN264" s="581"/>
      <c r="AO264" s="581"/>
      <c r="AP264" s="579"/>
      <c r="AQ264" s="582"/>
      <c r="AR264" s="581"/>
      <c r="AS264" s="581"/>
      <c r="AT264" s="581"/>
      <c r="AU264" s="581"/>
      <c r="AV264" s="581"/>
      <c r="AW264" s="581"/>
      <c r="AX264" s="581"/>
      <c r="AY264" s="581"/>
      <c r="AZ264" s="581"/>
      <c r="BA264" s="581"/>
      <c r="BB264" s="581"/>
      <c r="BC264" s="581"/>
      <c r="BD264" s="581"/>
      <c r="BE264" s="581"/>
      <c r="BF264" s="581"/>
      <c r="BG264" s="581"/>
      <c r="BH264" s="581"/>
      <c r="BI264" s="581"/>
      <c r="BJ264" s="581"/>
      <c r="BK264" s="581"/>
      <c r="BL264" s="581"/>
      <c r="BM264" s="581"/>
      <c r="BN264" s="581"/>
      <c r="BO264" s="581"/>
      <c r="BP264" s="581"/>
      <c r="BQ264" s="581"/>
      <c r="BR264" s="581"/>
      <c r="BS264" s="581"/>
      <c r="BT264" s="581"/>
      <c r="BU264" s="581"/>
      <c r="BV264" s="581"/>
      <c r="BW264" s="581"/>
      <c r="BX264" s="581"/>
      <c r="BY264" s="581"/>
      <c r="BZ264" s="581"/>
      <c r="CA264" s="581"/>
      <c r="CB264" s="581"/>
      <c r="CC264" s="581"/>
      <c r="CD264" s="581"/>
      <c r="CE264" s="581"/>
      <c r="CF264" s="581"/>
      <c r="CG264" s="581"/>
      <c r="CH264" s="581"/>
      <c r="CI264" s="581"/>
      <c r="CJ264" s="581"/>
      <c r="CK264" s="581"/>
      <c r="CL264" s="581"/>
      <c r="CM264" s="581"/>
      <c r="CN264" s="581"/>
      <c r="CO264" s="581"/>
      <c r="CP264" s="581"/>
      <c r="CQ264" s="581"/>
      <c r="CR264" s="581"/>
      <c r="CS264" s="581"/>
      <c r="CT264" s="581"/>
      <c r="CU264" s="581"/>
      <c r="CV264" s="581"/>
      <c r="CW264" s="581"/>
      <c r="CX264" s="581"/>
      <c r="CY264" s="581"/>
      <c r="CZ264" s="581"/>
      <c r="DA264" s="581"/>
      <c r="DB264" s="581"/>
      <c r="DC264" s="581"/>
      <c r="DD264" s="581"/>
      <c r="DE264" s="581"/>
      <c r="DF264" s="581"/>
      <c r="DG264" s="581"/>
      <c r="DH264" s="581"/>
      <c r="DI264" s="581"/>
      <c r="DJ264" s="581"/>
      <c r="DK264" s="581"/>
      <c r="DL264" s="581"/>
      <c r="DM264" s="581"/>
      <c r="DN264" s="581"/>
      <c r="DO264" s="581"/>
      <c r="DP264" s="581"/>
      <c r="DQ264" s="581"/>
      <c r="DR264" s="581"/>
      <c r="DS264" s="581"/>
      <c r="DT264" s="581"/>
      <c r="DU264" s="581"/>
      <c r="DV264" s="581"/>
      <c r="DW264" s="581"/>
      <c r="DX264" s="581"/>
      <c r="DY264" s="581"/>
      <c r="DZ264" s="581"/>
      <c r="EA264" s="581"/>
      <c r="EB264" s="581"/>
      <c r="EC264" s="581"/>
      <c r="ED264" s="581"/>
      <c r="EE264" s="581"/>
      <c r="EF264" s="581"/>
      <c r="EG264" s="581"/>
      <c r="EH264" s="581"/>
      <c r="EI264" s="581"/>
      <c r="EJ264" s="581"/>
    </row>
    <row r="265" spans="1:140" ht="49.5">
      <c r="A265" s="815" t="s">
        <v>125</v>
      </c>
      <c r="B265" s="600"/>
      <c r="C265" s="600"/>
      <c r="D265" s="600"/>
      <c r="E265" s="848"/>
      <c r="F265" s="601"/>
      <c r="G265" s="597"/>
      <c r="H265" s="544"/>
      <c r="I265" s="544"/>
      <c r="J265" s="780">
        <f>SUM(J182:J264)</f>
        <v>105050347.00980717</v>
      </c>
      <c r="K265" s="813"/>
      <c r="L265" s="813"/>
      <c r="M265" s="814"/>
      <c r="N265" s="814"/>
      <c r="O265" s="591"/>
      <c r="AG265" s="578"/>
      <c r="AH265" s="578"/>
      <c r="AI265" s="578"/>
      <c r="AJ265" s="578"/>
      <c r="AK265" s="578"/>
      <c r="AL265" s="579"/>
      <c r="AM265" s="580"/>
      <c r="AN265" s="581"/>
      <c r="AO265" s="581"/>
      <c r="AP265" s="579"/>
      <c r="AQ265" s="582"/>
      <c r="AR265" s="581"/>
      <c r="AS265" s="581"/>
      <c r="AT265" s="581"/>
      <c r="AU265" s="581"/>
      <c r="AV265" s="581"/>
      <c r="AW265" s="581"/>
      <c r="AX265" s="581"/>
      <c r="AY265" s="581"/>
      <c r="AZ265" s="581"/>
      <c r="BA265" s="581"/>
      <c r="BB265" s="581"/>
      <c r="BC265" s="581"/>
      <c r="BD265" s="581"/>
      <c r="BE265" s="581"/>
      <c r="BF265" s="581"/>
      <c r="BG265" s="581"/>
      <c r="BH265" s="581"/>
      <c r="BI265" s="581"/>
      <c r="BJ265" s="581"/>
      <c r="BK265" s="581"/>
      <c r="BL265" s="581"/>
      <c r="BM265" s="581"/>
      <c r="BN265" s="581"/>
      <c r="BO265" s="581"/>
      <c r="BP265" s="581"/>
      <c r="BQ265" s="581"/>
      <c r="BR265" s="581"/>
      <c r="BS265" s="581"/>
      <c r="BT265" s="581"/>
      <c r="BU265" s="581"/>
      <c r="BV265" s="581"/>
      <c r="BW265" s="581"/>
      <c r="BX265" s="581"/>
      <c r="BY265" s="581"/>
      <c r="BZ265" s="581"/>
      <c r="CA265" s="581"/>
      <c r="CB265" s="581"/>
      <c r="CC265" s="581"/>
      <c r="CD265" s="581"/>
      <c r="CE265" s="581"/>
      <c r="CF265" s="581"/>
      <c r="CG265" s="581"/>
      <c r="CH265" s="581"/>
      <c r="CI265" s="581"/>
      <c r="CJ265" s="581"/>
      <c r="CK265" s="581"/>
      <c r="CL265" s="581"/>
      <c r="CM265" s="581"/>
      <c r="CN265" s="581"/>
      <c r="CO265" s="581"/>
      <c r="CP265" s="581"/>
      <c r="CQ265" s="581"/>
      <c r="CR265" s="581"/>
      <c r="CS265" s="581"/>
      <c r="CT265" s="581"/>
      <c r="CU265" s="581"/>
      <c r="CV265" s="581"/>
      <c r="CW265" s="581"/>
      <c r="CX265" s="581"/>
      <c r="CY265" s="581"/>
      <c r="CZ265" s="581"/>
      <c r="DA265" s="581"/>
      <c r="DB265" s="581"/>
      <c r="DC265" s="581"/>
      <c r="DD265" s="581"/>
      <c r="DE265" s="581"/>
      <c r="DF265" s="581"/>
      <c r="DG265" s="581"/>
      <c r="DH265" s="581"/>
      <c r="DI265" s="581"/>
      <c r="DJ265" s="581"/>
      <c r="DK265" s="581"/>
      <c r="DL265" s="581"/>
      <c r="DM265" s="581"/>
      <c r="DN265" s="581"/>
      <c r="DO265" s="581"/>
      <c r="DP265" s="581"/>
      <c r="DQ265" s="581"/>
      <c r="DR265" s="581"/>
      <c r="DS265" s="581"/>
      <c r="DT265" s="581"/>
      <c r="DU265" s="581"/>
      <c r="DV265" s="581"/>
      <c r="DW265" s="581"/>
      <c r="DX265" s="581"/>
      <c r="DY265" s="581"/>
      <c r="DZ265" s="581"/>
      <c r="EA265" s="581"/>
      <c r="EB265" s="581"/>
      <c r="EC265" s="581"/>
      <c r="ED265" s="581"/>
      <c r="EE265" s="581"/>
      <c r="EF265" s="581"/>
      <c r="EG265" s="581"/>
      <c r="EH265" s="581"/>
      <c r="EI265" s="581"/>
      <c r="EJ265" s="581"/>
    </row>
    <row r="266" spans="1:140" ht="49.5">
      <c r="A266" s="815" t="s">
        <v>126</v>
      </c>
      <c r="B266" s="600"/>
      <c r="C266" s="600"/>
      <c r="D266" s="600"/>
      <c r="E266" s="848"/>
      <c r="F266" s="601"/>
      <c r="G266" s="597"/>
      <c r="H266" s="544"/>
      <c r="I266" s="544"/>
      <c r="J266" s="596"/>
      <c r="K266" s="813"/>
      <c r="L266" s="813"/>
      <c r="M266" s="814"/>
      <c r="N266" s="814"/>
      <c r="O266" s="591"/>
      <c r="AG266" s="578"/>
      <c r="AH266" s="578"/>
      <c r="AI266" s="578"/>
      <c r="AJ266" s="578"/>
      <c r="AK266" s="578"/>
      <c r="AL266" s="579"/>
      <c r="AM266" s="580"/>
      <c r="AN266" s="581"/>
      <c r="AO266" s="581"/>
      <c r="AP266" s="579"/>
      <c r="AQ266" s="582"/>
      <c r="AR266" s="581"/>
      <c r="AS266" s="581"/>
      <c r="AT266" s="581"/>
      <c r="AU266" s="581"/>
      <c r="AV266" s="581"/>
      <c r="AW266" s="581"/>
      <c r="AX266" s="581"/>
      <c r="AY266" s="581"/>
      <c r="AZ266" s="581"/>
      <c r="BA266" s="581"/>
      <c r="BB266" s="581"/>
      <c r="BC266" s="581"/>
      <c r="BD266" s="581"/>
      <c r="BE266" s="581"/>
      <c r="BF266" s="581"/>
      <c r="BG266" s="581"/>
      <c r="BH266" s="581"/>
      <c r="BI266" s="581"/>
      <c r="BJ266" s="581"/>
      <c r="BK266" s="581"/>
      <c r="BL266" s="581"/>
      <c r="BM266" s="581"/>
      <c r="BN266" s="581"/>
      <c r="BO266" s="581"/>
      <c r="BP266" s="581"/>
      <c r="BQ266" s="581"/>
      <c r="BR266" s="581"/>
      <c r="BS266" s="581"/>
      <c r="BT266" s="581"/>
      <c r="BU266" s="581"/>
      <c r="BV266" s="581"/>
      <c r="BW266" s="581"/>
      <c r="BX266" s="581"/>
      <c r="BY266" s="581"/>
      <c r="BZ266" s="581"/>
      <c r="CA266" s="581"/>
      <c r="CB266" s="581"/>
      <c r="CC266" s="581"/>
      <c r="CD266" s="581"/>
      <c r="CE266" s="581"/>
      <c r="CF266" s="581"/>
      <c r="CG266" s="581"/>
      <c r="CH266" s="581"/>
      <c r="CI266" s="581"/>
      <c r="CJ266" s="581"/>
      <c r="CK266" s="581"/>
      <c r="CL266" s="581"/>
      <c r="CM266" s="581"/>
      <c r="CN266" s="581"/>
      <c r="CO266" s="581"/>
      <c r="CP266" s="581"/>
      <c r="CQ266" s="581"/>
      <c r="CR266" s="581"/>
      <c r="CS266" s="581"/>
      <c r="CT266" s="581"/>
      <c r="CU266" s="581"/>
      <c r="CV266" s="581"/>
      <c r="CW266" s="581"/>
      <c r="CX266" s="581"/>
      <c r="CY266" s="581"/>
      <c r="CZ266" s="581"/>
      <c r="DA266" s="581"/>
      <c r="DB266" s="581"/>
      <c r="DC266" s="581"/>
      <c r="DD266" s="581"/>
      <c r="DE266" s="581"/>
      <c r="DF266" s="581"/>
      <c r="DG266" s="581"/>
      <c r="DH266" s="581"/>
      <c r="DI266" s="581"/>
      <c r="DJ266" s="581"/>
      <c r="DK266" s="581"/>
      <c r="DL266" s="581"/>
      <c r="DM266" s="581"/>
      <c r="DN266" s="581"/>
      <c r="DO266" s="581"/>
      <c r="DP266" s="581"/>
      <c r="DQ266" s="581"/>
      <c r="DR266" s="581"/>
      <c r="DS266" s="581"/>
      <c r="DT266" s="581"/>
      <c r="DU266" s="581"/>
      <c r="DV266" s="581"/>
      <c r="DW266" s="581"/>
      <c r="DX266" s="581"/>
      <c r="DY266" s="581"/>
      <c r="DZ266" s="581"/>
      <c r="EA266" s="581"/>
      <c r="EB266" s="581"/>
      <c r="EC266" s="581"/>
      <c r="ED266" s="581"/>
      <c r="EE266" s="581"/>
      <c r="EF266" s="581"/>
      <c r="EG266" s="581"/>
      <c r="EH266" s="581"/>
      <c r="EI266" s="581"/>
      <c r="EJ266" s="581"/>
    </row>
    <row r="267" spans="2:140" ht="15">
      <c r="B267" s="600"/>
      <c r="C267" s="600"/>
      <c r="D267" s="600"/>
      <c r="E267" s="848"/>
      <c r="G267" s="597"/>
      <c r="H267" s="544"/>
      <c r="I267" s="544"/>
      <c r="J267" s="596"/>
      <c r="AG267" s="578"/>
      <c r="AH267" s="578"/>
      <c r="AI267" s="578"/>
      <c r="AJ267" s="578"/>
      <c r="AK267" s="578"/>
      <c r="AL267" s="579"/>
      <c r="AM267" s="580"/>
      <c r="AN267" s="581"/>
      <c r="AO267" s="581"/>
      <c r="AP267" s="579"/>
      <c r="AQ267" s="582"/>
      <c r="AR267" s="581"/>
      <c r="AS267" s="581"/>
      <c r="AT267" s="581"/>
      <c r="AU267" s="581"/>
      <c r="AV267" s="581"/>
      <c r="AW267" s="581"/>
      <c r="AX267" s="581"/>
      <c r="AY267" s="581"/>
      <c r="AZ267" s="581"/>
      <c r="BA267" s="581"/>
      <c r="BB267" s="581"/>
      <c r="BC267" s="581"/>
      <c r="BD267" s="581"/>
      <c r="BE267" s="581"/>
      <c r="BF267" s="581"/>
      <c r="BG267" s="581"/>
      <c r="BH267" s="581"/>
      <c r="BI267" s="581"/>
      <c r="BJ267" s="581"/>
      <c r="BK267" s="581"/>
      <c r="BL267" s="581"/>
      <c r="BM267" s="581"/>
      <c r="BN267" s="581"/>
      <c r="BO267" s="581"/>
      <c r="BP267" s="581"/>
      <c r="BQ267" s="581"/>
      <c r="BR267" s="581"/>
      <c r="BS267" s="581"/>
      <c r="BT267" s="581"/>
      <c r="BU267" s="581"/>
      <c r="BV267" s="581"/>
      <c r="BW267" s="581"/>
      <c r="BX267" s="581"/>
      <c r="BY267" s="581"/>
      <c r="BZ267" s="581"/>
      <c r="CA267" s="581"/>
      <c r="CB267" s="581"/>
      <c r="CC267" s="581"/>
      <c r="CD267" s="581"/>
      <c r="CE267" s="581"/>
      <c r="CF267" s="581"/>
      <c r="CG267" s="581"/>
      <c r="CH267" s="581"/>
      <c r="CI267" s="581"/>
      <c r="CJ267" s="581"/>
      <c r="CK267" s="581"/>
      <c r="CL267" s="581"/>
      <c r="CM267" s="581"/>
      <c r="CN267" s="581"/>
      <c r="CO267" s="581"/>
      <c r="CP267" s="581"/>
      <c r="CQ267" s="581"/>
      <c r="CR267" s="581"/>
      <c r="CS267" s="581"/>
      <c r="CT267" s="581"/>
      <c r="CU267" s="581"/>
      <c r="CV267" s="581"/>
      <c r="CW267" s="581"/>
      <c r="CX267" s="581"/>
      <c r="CY267" s="581"/>
      <c r="CZ267" s="581"/>
      <c r="DA267" s="581"/>
      <c r="DB267" s="581"/>
      <c r="DC267" s="581"/>
      <c r="DD267" s="581"/>
      <c r="DE267" s="581"/>
      <c r="DF267" s="581"/>
      <c r="DG267" s="581"/>
      <c r="DH267" s="581"/>
      <c r="DI267" s="581"/>
      <c r="DJ267" s="581"/>
      <c r="DK267" s="581"/>
      <c r="DL267" s="581"/>
      <c r="DM267" s="581"/>
      <c r="DN267" s="581"/>
      <c r="DO267" s="581"/>
      <c r="DP267" s="581"/>
      <c r="DQ267" s="581"/>
      <c r="DR267" s="581"/>
      <c r="DS267" s="581"/>
      <c r="DT267" s="581"/>
      <c r="DU267" s="581"/>
      <c r="DV267" s="581"/>
      <c r="DW267" s="581"/>
      <c r="DX267" s="581"/>
      <c r="DY267" s="581"/>
      <c r="DZ267" s="581"/>
      <c r="EA267" s="581"/>
      <c r="EB267" s="581"/>
      <c r="EC267" s="581"/>
      <c r="ED267" s="581"/>
      <c r="EE267" s="581"/>
      <c r="EF267" s="581"/>
      <c r="EG267" s="581"/>
      <c r="EH267" s="581"/>
      <c r="EI267" s="581"/>
      <c r="EJ267" s="581"/>
    </row>
    <row r="268" spans="2:140" ht="15">
      <c r="B268" s="600"/>
      <c r="C268" s="600"/>
      <c r="D268" s="600"/>
      <c r="E268" s="848"/>
      <c r="G268" s="597"/>
      <c r="H268" s="544"/>
      <c r="I268" s="544"/>
      <c r="J268" s="596"/>
      <c r="AG268" s="578"/>
      <c r="AH268" s="578"/>
      <c r="AI268" s="578"/>
      <c r="AJ268" s="578"/>
      <c r="AK268" s="578"/>
      <c r="AL268" s="579"/>
      <c r="AM268" s="580"/>
      <c r="AN268" s="581"/>
      <c r="AO268" s="581"/>
      <c r="AP268" s="579"/>
      <c r="AQ268" s="582"/>
      <c r="AR268" s="581"/>
      <c r="AS268" s="581"/>
      <c r="AT268" s="581"/>
      <c r="AU268" s="581"/>
      <c r="AV268" s="581"/>
      <c r="AW268" s="581"/>
      <c r="AX268" s="581"/>
      <c r="AY268" s="581"/>
      <c r="AZ268" s="581"/>
      <c r="BA268" s="581"/>
      <c r="BB268" s="581"/>
      <c r="BC268" s="581"/>
      <c r="BD268" s="581"/>
      <c r="BE268" s="581"/>
      <c r="BF268" s="581"/>
      <c r="BG268" s="581"/>
      <c r="BH268" s="581"/>
      <c r="BI268" s="581"/>
      <c r="BJ268" s="581"/>
      <c r="BK268" s="581"/>
      <c r="BL268" s="581"/>
      <c r="BM268" s="581"/>
      <c r="BN268" s="581"/>
      <c r="BO268" s="581"/>
      <c r="BP268" s="581"/>
      <c r="BQ268" s="581"/>
      <c r="BR268" s="581"/>
      <c r="BS268" s="581"/>
      <c r="BT268" s="581"/>
      <c r="BU268" s="581"/>
      <c r="BV268" s="581"/>
      <c r="BW268" s="581"/>
      <c r="BX268" s="581"/>
      <c r="BY268" s="581"/>
      <c r="BZ268" s="581"/>
      <c r="CA268" s="581"/>
      <c r="CB268" s="581"/>
      <c r="CC268" s="581"/>
      <c r="CD268" s="581"/>
      <c r="CE268" s="581"/>
      <c r="CF268" s="581"/>
      <c r="CG268" s="581"/>
      <c r="CH268" s="581"/>
      <c r="CI268" s="581"/>
      <c r="CJ268" s="581"/>
      <c r="CK268" s="581"/>
      <c r="CL268" s="581"/>
      <c r="CM268" s="581"/>
      <c r="CN268" s="581"/>
      <c r="CO268" s="581"/>
      <c r="CP268" s="581"/>
      <c r="CQ268" s="581"/>
      <c r="CR268" s="581"/>
      <c r="CS268" s="581"/>
      <c r="CT268" s="581"/>
      <c r="CU268" s="581"/>
      <c r="CV268" s="581"/>
      <c r="CW268" s="581"/>
      <c r="CX268" s="581"/>
      <c r="CY268" s="581"/>
      <c r="CZ268" s="581"/>
      <c r="DA268" s="581"/>
      <c r="DB268" s="581"/>
      <c r="DC268" s="581"/>
      <c r="DD268" s="581"/>
      <c r="DE268" s="581"/>
      <c r="DF268" s="581"/>
      <c r="DG268" s="581"/>
      <c r="DH268" s="581"/>
      <c r="DI268" s="581"/>
      <c r="DJ268" s="581"/>
      <c r="DK268" s="581"/>
      <c r="DL268" s="581"/>
      <c r="DM268" s="581"/>
      <c r="DN268" s="581"/>
      <c r="DO268" s="581"/>
      <c r="DP268" s="581"/>
      <c r="DQ268" s="581"/>
      <c r="DR268" s="581"/>
      <c r="DS268" s="581"/>
      <c r="DT268" s="581"/>
      <c r="DU268" s="581"/>
      <c r="DV268" s="581"/>
      <c r="DW268" s="581"/>
      <c r="DX268" s="581"/>
      <c r="DY268" s="581"/>
      <c r="DZ268" s="581"/>
      <c r="EA268" s="581"/>
      <c r="EB268" s="581"/>
      <c r="EC268" s="581"/>
      <c r="ED268" s="581"/>
      <c r="EE268" s="581"/>
      <c r="EF268" s="581"/>
      <c r="EG268" s="581"/>
      <c r="EH268" s="581"/>
      <c r="EI268" s="581"/>
      <c r="EJ268" s="581"/>
    </row>
    <row r="269" spans="2:140" ht="15">
      <c r="B269" s="600"/>
      <c r="C269" s="600"/>
      <c r="D269" s="600"/>
      <c r="E269" s="848"/>
      <c r="G269" s="597"/>
      <c r="H269" s="544"/>
      <c r="I269" s="544"/>
      <c r="J269" s="596"/>
      <c r="AG269" s="578"/>
      <c r="AH269" s="578"/>
      <c r="AI269" s="578"/>
      <c r="AJ269" s="578"/>
      <c r="AK269" s="578"/>
      <c r="AL269" s="579"/>
      <c r="AM269" s="580"/>
      <c r="AN269" s="581"/>
      <c r="AO269" s="581"/>
      <c r="AP269" s="579"/>
      <c r="AQ269" s="582"/>
      <c r="AR269" s="581"/>
      <c r="AS269" s="581"/>
      <c r="AT269" s="581"/>
      <c r="AU269" s="581"/>
      <c r="AV269" s="581"/>
      <c r="AW269" s="581"/>
      <c r="AX269" s="581"/>
      <c r="AY269" s="581"/>
      <c r="AZ269" s="581"/>
      <c r="BA269" s="581"/>
      <c r="BB269" s="581"/>
      <c r="BC269" s="581"/>
      <c r="BD269" s="581"/>
      <c r="BE269" s="581"/>
      <c r="BF269" s="581"/>
      <c r="BG269" s="581"/>
      <c r="BH269" s="581"/>
      <c r="BI269" s="581"/>
      <c r="BJ269" s="581"/>
      <c r="BK269" s="581"/>
      <c r="BL269" s="581"/>
      <c r="BM269" s="581"/>
      <c r="BN269" s="581"/>
      <c r="BO269" s="581"/>
      <c r="BP269" s="581"/>
      <c r="BQ269" s="581"/>
      <c r="BR269" s="581"/>
      <c r="BS269" s="581"/>
      <c r="BT269" s="581"/>
      <c r="BU269" s="581"/>
      <c r="BV269" s="581"/>
      <c r="BW269" s="581"/>
      <c r="BX269" s="581"/>
      <c r="BY269" s="581"/>
      <c r="BZ269" s="581"/>
      <c r="CA269" s="581"/>
      <c r="CB269" s="581"/>
      <c r="CC269" s="581"/>
      <c r="CD269" s="581"/>
      <c r="CE269" s="581"/>
      <c r="CF269" s="581"/>
      <c r="CG269" s="581"/>
      <c r="CH269" s="581"/>
      <c r="CI269" s="581"/>
      <c r="CJ269" s="581"/>
      <c r="CK269" s="581"/>
      <c r="CL269" s="581"/>
      <c r="CM269" s="581"/>
      <c r="CN269" s="581"/>
      <c r="CO269" s="581"/>
      <c r="CP269" s="581"/>
      <c r="CQ269" s="581"/>
      <c r="CR269" s="581"/>
      <c r="CS269" s="581"/>
      <c r="CT269" s="581"/>
      <c r="CU269" s="581"/>
      <c r="CV269" s="581"/>
      <c r="CW269" s="581"/>
      <c r="CX269" s="581"/>
      <c r="CY269" s="581"/>
      <c r="CZ269" s="581"/>
      <c r="DA269" s="581"/>
      <c r="DB269" s="581"/>
      <c r="DC269" s="581"/>
      <c r="DD269" s="581"/>
      <c r="DE269" s="581"/>
      <c r="DF269" s="581"/>
      <c r="DG269" s="581"/>
      <c r="DH269" s="581"/>
      <c r="DI269" s="581"/>
      <c r="DJ269" s="581"/>
      <c r="DK269" s="581"/>
      <c r="DL269" s="581"/>
      <c r="DM269" s="581"/>
      <c r="DN269" s="581"/>
      <c r="DO269" s="581"/>
      <c r="DP269" s="581"/>
      <c r="DQ269" s="581"/>
      <c r="DR269" s="581"/>
      <c r="DS269" s="581"/>
      <c r="DT269" s="581"/>
      <c r="DU269" s="581"/>
      <c r="DV269" s="581"/>
      <c r="DW269" s="581"/>
      <c r="DX269" s="581"/>
      <c r="DY269" s="581"/>
      <c r="DZ269" s="581"/>
      <c r="EA269" s="581"/>
      <c r="EB269" s="581"/>
      <c r="EC269" s="581"/>
      <c r="ED269" s="581"/>
      <c r="EE269" s="581"/>
      <c r="EF269" s="581"/>
      <c r="EG269" s="581"/>
      <c r="EH269" s="581"/>
      <c r="EI269" s="581"/>
      <c r="EJ269" s="581"/>
    </row>
    <row r="270" spans="2:140" ht="15">
      <c r="B270" s="600"/>
      <c r="C270" s="600"/>
      <c r="D270" s="600"/>
      <c r="E270" s="848"/>
      <c r="G270" s="597"/>
      <c r="H270" s="544"/>
      <c r="I270" s="544"/>
      <c r="J270" s="596"/>
      <c r="AG270" s="578"/>
      <c r="AH270" s="578"/>
      <c r="AI270" s="578"/>
      <c r="AJ270" s="578"/>
      <c r="AK270" s="578"/>
      <c r="AL270" s="579"/>
      <c r="AM270" s="580"/>
      <c r="AN270" s="581"/>
      <c r="AO270" s="581"/>
      <c r="AP270" s="579"/>
      <c r="AQ270" s="582"/>
      <c r="AR270" s="581"/>
      <c r="AS270" s="581"/>
      <c r="AT270" s="581"/>
      <c r="AU270" s="581"/>
      <c r="AV270" s="581"/>
      <c r="AW270" s="581"/>
      <c r="AX270" s="581"/>
      <c r="AY270" s="581"/>
      <c r="AZ270" s="581"/>
      <c r="BA270" s="581"/>
      <c r="BB270" s="581"/>
      <c r="BC270" s="581"/>
      <c r="BD270" s="581"/>
      <c r="BE270" s="581"/>
      <c r="BF270" s="581"/>
      <c r="BG270" s="581"/>
      <c r="BH270" s="581"/>
      <c r="BI270" s="581"/>
      <c r="BJ270" s="581"/>
      <c r="BK270" s="581"/>
      <c r="BL270" s="581"/>
      <c r="BM270" s="581"/>
      <c r="BN270" s="581"/>
      <c r="BO270" s="581"/>
      <c r="BP270" s="581"/>
      <c r="BQ270" s="581"/>
      <c r="BR270" s="581"/>
      <c r="BS270" s="581"/>
      <c r="BT270" s="581"/>
      <c r="BU270" s="581"/>
      <c r="BV270" s="581"/>
      <c r="BW270" s="581"/>
      <c r="BX270" s="581"/>
      <c r="BY270" s="581"/>
      <c r="BZ270" s="581"/>
      <c r="CA270" s="581"/>
      <c r="CB270" s="581"/>
      <c r="CC270" s="581"/>
      <c r="CD270" s="581"/>
      <c r="CE270" s="581"/>
      <c r="CF270" s="581"/>
      <c r="CG270" s="581"/>
      <c r="CH270" s="581"/>
      <c r="CI270" s="581"/>
      <c r="CJ270" s="581"/>
      <c r="CK270" s="581"/>
      <c r="CL270" s="581"/>
      <c r="CM270" s="581"/>
      <c r="CN270" s="581"/>
      <c r="CO270" s="581"/>
      <c r="CP270" s="581"/>
      <c r="CQ270" s="581"/>
      <c r="CR270" s="581"/>
      <c r="CS270" s="581"/>
      <c r="CT270" s="581"/>
      <c r="CU270" s="581"/>
      <c r="CV270" s="581"/>
      <c r="CW270" s="581"/>
      <c r="CX270" s="581"/>
      <c r="CY270" s="581"/>
      <c r="CZ270" s="581"/>
      <c r="DA270" s="581"/>
      <c r="DB270" s="581"/>
      <c r="DC270" s="581"/>
      <c r="DD270" s="581"/>
      <c r="DE270" s="581"/>
      <c r="DF270" s="581"/>
      <c r="DG270" s="581"/>
      <c r="DH270" s="581"/>
      <c r="DI270" s="581"/>
      <c r="DJ270" s="581"/>
      <c r="DK270" s="581"/>
      <c r="DL270" s="581"/>
      <c r="DM270" s="581"/>
      <c r="DN270" s="581"/>
      <c r="DO270" s="581"/>
      <c r="DP270" s="581"/>
      <c r="DQ270" s="581"/>
      <c r="DR270" s="581"/>
      <c r="DS270" s="581"/>
      <c r="DT270" s="581"/>
      <c r="DU270" s="581"/>
      <c r="DV270" s="581"/>
      <c r="DW270" s="581"/>
      <c r="DX270" s="581"/>
      <c r="DY270" s="581"/>
      <c r="DZ270" s="581"/>
      <c r="EA270" s="581"/>
      <c r="EB270" s="581"/>
      <c r="EC270" s="581"/>
      <c r="ED270" s="581"/>
      <c r="EE270" s="581"/>
      <c r="EF270" s="581"/>
      <c r="EG270" s="581"/>
      <c r="EH270" s="581"/>
      <c r="EI270" s="581"/>
      <c r="EJ270" s="581"/>
    </row>
    <row r="271" spans="4:140" ht="13.5">
      <c r="D271" s="848"/>
      <c r="E271" s="848"/>
      <c r="G271" s="597"/>
      <c r="H271" s="544"/>
      <c r="I271" s="544"/>
      <c r="J271" s="596"/>
      <c r="AG271" s="578"/>
      <c r="AH271" s="578"/>
      <c r="AI271" s="578"/>
      <c r="AJ271" s="578"/>
      <c r="AK271" s="578"/>
      <c r="AL271" s="579"/>
      <c r="AM271" s="580"/>
      <c r="AN271" s="581"/>
      <c r="AO271" s="581"/>
      <c r="AP271" s="579"/>
      <c r="AQ271" s="582"/>
      <c r="AR271" s="581"/>
      <c r="AS271" s="581"/>
      <c r="AT271" s="581"/>
      <c r="AU271" s="581"/>
      <c r="AV271" s="581"/>
      <c r="AW271" s="581"/>
      <c r="AX271" s="581"/>
      <c r="AY271" s="581"/>
      <c r="AZ271" s="581"/>
      <c r="BA271" s="581"/>
      <c r="BB271" s="581"/>
      <c r="BC271" s="581"/>
      <c r="BD271" s="581"/>
      <c r="BE271" s="581"/>
      <c r="BF271" s="581"/>
      <c r="BG271" s="581"/>
      <c r="BH271" s="581"/>
      <c r="BI271" s="581"/>
      <c r="BJ271" s="581"/>
      <c r="BK271" s="581"/>
      <c r="BL271" s="581"/>
      <c r="BM271" s="581"/>
      <c r="BN271" s="581"/>
      <c r="BO271" s="581"/>
      <c r="BP271" s="581"/>
      <c r="BQ271" s="581"/>
      <c r="BR271" s="581"/>
      <c r="BS271" s="581"/>
      <c r="BT271" s="581"/>
      <c r="BU271" s="581"/>
      <c r="BV271" s="581"/>
      <c r="BW271" s="581"/>
      <c r="BX271" s="581"/>
      <c r="BY271" s="581"/>
      <c r="BZ271" s="581"/>
      <c r="CA271" s="581"/>
      <c r="CB271" s="581"/>
      <c r="CC271" s="581"/>
      <c r="CD271" s="581"/>
      <c r="CE271" s="581"/>
      <c r="CF271" s="581"/>
      <c r="CG271" s="581"/>
      <c r="CH271" s="581"/>
      <c r="CI271" s="581"/>
      <c r="CJ271" s="581"/>
      <c r="CK271" s="581"/>
      <c r="CL271" s="581"/>
      <c r="CM271" s="581"/>
      <c r="CN271" s="581"/>
      <c r="CO271" s="581"/>
      <c r="CP271" s="581"/>
      <c r="CQ271" s="581"/>
      <c r="CR271" s="581"/>
      <c r="CS271" s="581"/>
      <c r="CT271" s="581"/>
      <c r="CU271" s="581"/>
      <c r="CV271" s="581"/>
      <c r="CW271" s="581"/>
      <c r="CX271" s="581"/>
      <c r="CY271" s="581"/>
      <c r="CZ271" s="581"/>
      <c r="DA271" s="581"/>
      <c r="DB271" s="581"/>
      <c r="DC271" s="581"/>
      <c r="DD271" s="581"/>
      <c r="DE271" s="581"/>
      <c r="DF271" s="581"/>
      <c r="DG271" s="581"/>
      <c r="DH271" s="581"/>
      <c r="DI271" s="581"/>
      <c r="DJ271" s="581"/>
      <c r="DK271" s="581"/>
      <c r="DL271" s="581"/>
      <c r="DM271" s="581"/>
      <c r="DN271" s="581"/>
      <c r="DO271" s="581"/>
      <c r="DP271" s="581"/>
      <c r="DQ271" s="581"/>
      <c r="DR271" s="581"/>
      <c r="DS271" s="581"/>
      <c r="DT271" s="581"/>
      <c r="DU271" s="581"/>
      <c r="DV271" s="581"/>
      <c r="DW271" s="581"/>
      <c r="DX271" s="581"/>
      <c r="DY271" s="581"/>
      <c r="DZ271" s="581"/>
      <c r="EA271" s="581"/>
      <c r="EB271" s="581"/>
      <c r="EC271" s="581"/>
      <c r="ED271" s="581"/>
      <c r="EE271" s="581"/>
      <c r="EF271" s="581"/>
      <c r="EG271" s="581"/>
      <c r="EH271" s="581"/>
      <c r="EI271" s="581"/>
      <c r="EJ271" s="581"/>
    </row>
    <row r="272" spans="4:140" ht="13.5">
      <c r="D272" s="848"/>
      <c r="E272" s="848"/>
      <c r="G272" s="597"/>
      <c r="H272" s="544"/>
      <c r="I272" s="544"/>
      <c r="J272" s="596"/>
      <c r="AG272" s="578"/>
      <c r="AH272" s="578"/>
      <c r="AI272" s="578"/>
      <c r="AJ272" s="578"/>
      <c r="AK272" s="578"/>
      <c r="AL272" s="579"/>
      <c r="AM272" s="580"/>
      <c r="AN272" s="581"/>
      <c r="AO272" s="581"/>
      <c r="AP272" s="579"/>
      <c r="AQ272" s="582"/>
      <c r="AR272" s="581"/>
      <c r="AS272" s="581"/>
      <c r="AT272" s="581"/>
      <c r="AU272" s="581"/>
      <c r="AV272" s="581"/>
      <c r="AW272" s="581"/>
      <c r="AX272" s="581"/>
      <c r="AY272" s="581"/>
      <c r="AZ272" s="581"/>
      <c r="BA272" s="581"/>
      <c r="BB272" s="581"/>
      <c r="BC272" s="581"/>
      <c r="BD272" s="581"/>
      <c r="BE272" s="581"/>
      <c r="BF272" s="581"/>
      <c r="BG272" s="581"/>
      <c r="BH272" s="581"/>
      <c r="BI272" s="581"/>
      <c r="BJ272" s="581"/>
      <c r="BK272" s="581"/>
      <c r="BL272" s="581"/>
      <c r="BM272" s="581"/>
      <c r="BN272" s="581"/>
      <c r="BO272" s="581"/>
      <c r="BP272" s="581"/>
      <c r="BQ272" s="581"/>
      <c r="BR272" s="581"/>
      <c r="BS272" s="581"/>
      <c r="BT272" s="581"/>
      <c r="BU272" s="581"/>
      <c r="BV272" s="581"/>
      <c r="BW272" s="581"/>
      <c r="BX272" s="581"/>
      <c r="BY272" s="581"/>
      <c r="BZ272" s="581"/>
      <c r="CA272" s="581"/>
      <c r="CB272" s="581"/>
      <c r="CC272" s="581"/>
      <c r="CD272" s="581"/>
      <c r="CE272" s="581"/>
      <c r="CF272" s="581"/>
      <c r="CG272" s="581"/>
      <c r="CH272" s="581"/>
      <c r="CI272" s="581"/>
      <c r="CJ272" s="581"/>
      <c r="CK272" s="581"/>
      <c r="CL272" s="581"/>
      <c r="CM272" s="581"/>
      <c r="CN272" s="581"/>
      <c r="CO272" s="581"/>
      <c r="CP272" s="581"/>
      <c r="CQ272" s="581"/>
      <c r="CR272" s="581"/>
      <c r="CS272" s="581"/>
      <c r="CT272" s="581"/>
      <c r="CU272" s="581"/>
      <c r="CV272" s="581"/>
      <c r="CW272" s="581"/>
      <c r="CX272" s="581"/>
      <c r="CY272" s="581"/>
      <c r="CZ272" s="581"/>
      <c r="DA272" s="581"/>
      <c r="DB272" s="581"/>
      <c r="DC272" s="581"/>
      <c r="DD272" s="581"/>
      <c r="DE272" s="581"/>
      <c r="DF272" s="581"/>
      <c r="DG272" s="581"/>
      <c r="DH272" s="581"/>
      <c r="DI272" s="581"/>
      <c r="DJ272" s="581"/>
      <c r="DK272" s="581"/>
      <c r="DL272" s="581"/>
      <c r="DM272" s="581"/>
      <c r="DN272" s="581"/>
      <c r="DO272" s="581"/>
      <c r="DP272" s="581"/>
      <c r="DQ272" s="581"/>
      <c r="DR272" s="581"/>
      <c r="DS272" s="581"/>
      <c r="DT272" s="581"/>
      <c r="DU272" s="581"/>
      <c r="DV272" s="581"/>
      <c r="DW272" s="581"/>
      <c r="DX272" s="581"/>
      <c r="DY272" s="581"/>
      <c r="DZ272" s="581"/>
      <c r="EA272" s="581"/>
      <c r="EB272" s="581"/>
      <c r="EC272" s="581"/>
      <c r="ED272" s="581"/>
      <c r="EE272" s="581"/>
      <c r="EF272" s="581"/>
      <c r="EG272" s="581"/>
      <c r="EH272" s="581"/>
      <c r="EI272" s="581"/>
      <c r="EJ272" s="581"/>
    </row>
    <row r="273" spans="7:140" ht="12">
      <c r="G273" s="597"/>
      <c r="H273" s="544"/>
      <c r="I273" s="544"/>
      <c r="J273" s="596"/>
      <c r="AG273" s="578"/>
      <c r="AH273" s="578"/>
      <c r="AI273" s="578"/>
      <c r="AJ273" s="578"/>
      <c r="AK273" s="578"/>
      <c r="AL273" s="579"/>
      <c r="AM273" s="580"/>
      <c r="AN273" s="581"/>
      <c r="AO273" s="581"/>
      <c r="AP273" s="579"/>
      <c r="AQ273" s="582"/>
      <c r="AR273" s="581"/>
      <c r="AS273" s="581"/>
      <c r="AT273" s="581"/>
      <c r="AU273" s="581"/>
      <c r="AV273" s="581"/>
      <c r="AW273" s="581"/>
      <c r="AX273" s="581"/>
      <c r="AY273" s="581"/>
      <c r="AZ273" s="581"/>
      <c r="BA273" s="581"/>
      <c r="BB273" s="581"/>
      <c r="BC273" s="581"/>
      <c r="BD273" s="581"/>
      <c r="BE273" s="581"/>
      <c r="BF273" s="581"/>
      <c r="BG273" s="581"/>
      <c r="BH273" s="581"/>
      <c r="BI273" s="581"/>
      <c r="BJ273" s="581"/>
      <c r="BK273" s="581"/>
      <c r="BL273" s="581"/>
      <c r="BM273" s="581"/>
      <c r="BN273" s="581"/>
      <c r="BO273" s="581"/>
      <c r="BP273" s="581"/>
      <c r="BQ273" s="581"/>
      <c r="BR273" s="581"/>
      <c r="BS273" s="581"/>
      <c r="BT273" s="581"/>
      <c r="BU273" s="581"/>
      <c r="BV273" s="581"/>
      <c r="BW273" s="581"/>
      <c r="BX273" s="581"/>
      <c r="BY273" s="581"/>
      <c r="BZ273" s="581"/>
      <c r="CA273" s="581"/>
      <c r="CB273" s="581"/>
      <c r="CC273" s="581"/>
      <c r="CD273" s="581"/>
      <c r="CE273" s="581"/>
      <c r="CF273" s="581"/>
      <c r="CG273" s="581"/>
      <c r="CH273" s="581"/>
      <c r="CI273" s="581"/>
      <c r="CJ273" s="581"/>
      <c r="CK273" s="581"/>
      <c r="CL273" s="581"/>
      <c r="CM273" s="581"/>
      <c r="CN273" s="581"/>
      <c r="CO273" s="581"/>
      <c r="CP273" s="581"/>
      <c r="CQ273" s="581"/>
      <c r="CR273" s="581"/>
      <c r="CS273" s="581"/>
      <c r="CT273" s="581"/>
      <c r="CU273" s="581"/>
      <c r="CV273" s="581"/>
      <c r="CW273" s="581"/>
      <c r="CX273" s="581"/>
      <c r="CY273" s="581"/>
      <c r="CZ273" s="581"/>
      <c r="DA273" s="581"/>
      <c r="DB273" s="581"/>
      <c r="DC273" s="581"/>
      <c r="DD273" s="581"/>
      <c r="DE273" s="581"/>
      <c r="DF273" s="581"/>
      <c r="DG273" s="581"/>
      <c r="DH273" s="581"/>
      <c r="DI273" s="581"/>
      <c r="DJ273" s="581"/>
      <c r="DK273" s="581"/>
      <c r="DL273" s="581"/>
      <c r="DM273" s="581"/>
      <c r="DN273" s="581"/>
      <c r="DO273" s="581"/>
      <c r="DP273" s="581"/>
      <c r="DQ273" s="581"/>
      <c r="DR273" s="581"/>
      <c r="DS273" s="581"/>
      <c r="DT273" s="581"/>
      <c r="DU273" s="581"/>
      <c r="DV273" s="581"/>
      <c r="DW273" s="581"/>
      <c r="DX273" s="581"/>
      <c r="DY273" s="581"/>
      <c r="DZ273" s="581"/>
      <c r="EA273" s="581"/>
      <c r="EB273" s="581"/>
      <c r="EC273" s="581"/>
      <c r="ED273" s="581"/>
      <c r="EE273" s="581"/>
      <c r="EF273" s="581"/>
      <c r="EG273" s="581"/>
      <c r="EH273" s="581"/>
      <c r="EI273" s="581"/>
      <c r="EJ273" s="581"/>
    </row>
    <row r="274" spans="7:140" ht="12">
      <c r="G274" s="597"/>
      <c r="H274" s="544"/>
      <c r="I274" s="544"/>
      <c r="J274" s="596"/>
      <c r="AG274" s="578"/>
      <c r="AH274" s="578"/>
      <c r="AI274" s="578"/>
      <c r="AJ274" s="578"/>
      <c r="AK274" s="578"/>
      <c r="AL274" s="579"/>
      <c r="AM274" s="580"/>
      <c r="AN274" s="581"/>
      <c r="AO274" s="581"/>
      <c r="AP274" s="579"/>
      <c r="AQ274" s="582"/>
      <c r="AR274" s="581"/>
      <c r="AS274" s="581"/>
      <c r="AT274" s="581"/>
      <c r="AU274" s="581"/>
      <c r="AV274" s="581"/>
      <c r="AW274" s="581"/>
      <c r="AX274" s="581"/>
      <c r="AY274" s="581"/>
      <c r="AZ274" s="581"/>
      <c r="BA274" s="581"/>
      <c r="BB274" s="581"/>
      <c r="BC274" s="581"/>
      <c r="BD274" s="581"/>
      <c r="BE274" s="581"/>
      <c r="BF274" s="581"/>
      <c r="BG274" s="581"/>
      <c r="BH274" s="581"/>
      <c r="BI274" s="581"/>
      <c r="BJ274" s="581"/>
      <c r="BK274" s="581"/>
      <c r="BL274" s="581"/>
      <c r="BM274" s="581"/>
      <c r="BN274" s="581"/>
      <c r="BO274" s="581"/>
      <c r="BP274" s="581"/>
      <c r="BQ274" s="581"/>
      <c r="BR274" s="581"/>
      <c r="BS274" s="581"/>
      <c r="BT274" s="581"/>
      <c r="BU274" s="581"/>
      <c r="BV274" s="581"/>
      <c r="BW274" s="581"/>
      <c r="BX274" s="581"/>
      <c r="BY274" s="581"/>
      <c r="BZ274" s="581"/>
      <c r="CA274" s="581"/>
      <c r="CB274" s="581"/>
      <c r="CC274" s="581"/>
      <c r="CD274" s="581"/>
      <c r="CE274" s="581"/>
      <c r="CF274" s="581"/>
      <c r="CG274" s="581"/>
      <c r="CH274" s="581"/>
      <c r="CI274" s="581"/>
      <c r="CJ274" s="581"/>
      <c r="CK274" s="581"/>
      <c r="CL274" s="581"/>
      <c r="CM274" s="581"/>
      <c r="CN274" s="581"/>
      <c r="CO274" s="581"/>
      <c r="CP274" s="581"/>
      <c r="CQ274" s="581"/>
      <c r="CR274" s="581"/>
      <c r="CS274" s="581"/>
      <c r="CT274" s="581"/>
      <c r="CU274" s="581"/>
      <c r="CV274" s="581"/>
      <c r="CW274" s="581"/>
      <c r="CX274" s="581"/>
      <c r="CY274" s="581"/>
      <c r="CZ274" s="581"/>
      <c r="DA274" s="581"/>
      <c r="DB274" s="581"/>
      <c r="DC274" s="581"/>
      <c r="DD274" s="581"/>
      <c r="DE274" s="581"/>
      <c r="DF274" s="581"/>
      <c r="DG274" s="581"/>
      <c r="DH274" s="581"/>
      <c r="DI274" s="581"/>
      <c r="DJ274" s="581"/>
      <c r="DK274" s="581"/>
      <c r="DL274" s="581"/>
      <c r="DM274" s="581"/>
      <c r="DN274" s="581"/>
      <c r="DO274" s="581"/>
      <c r="DP274" s="581"/>
      <c r="DQ274" s="581"/>
      <c r="DR274" s="581"/>
      <c r="DS274" s="581"/>
      <c r="DT274" s="581"/>
      <c r="DU274" s="581"/>
      <c r="DV274" s="581"/>
      <c r="DW274" s="581"/>
      <c r="DX274" s="581"/>
      <c r="DY274" s="581"/>
      <c r="DZ274" s="581"/>
      <c r="EA274" s="581"/>
      <c r="EB274" s="581"/>
      <c r="EC274" s="581"/>
      <c r="ED274" s="581"/>
      <c r="EE274" s="581"/>
      <c r="EF274" s="581"/>
      <c r="EG274" s="581"/>
      <c r="EH274" s="581"/>
      <c r="EI274" s="581"/>
      <c r="EJ274" s="581"/>
    </row>
    <row r="275" spans="7:140" ht="12">
      <c r="G275" s="597"/>
      <c r="H275" s="544"/>
      <c r="I275" s="544"/>
      <c r="J275" s="596"/>
      <c r="AG275" s="578"/>
      <c r="AH275" s="578"/>
      <c r="AI275" s="578"/>
      <c r="AJ275" s="578"/>
      <c r="AK275" s="578"/>
      <c r="AL275" s="579"/>
      <c r="AM275" s="580"/>
      <c r="AN275" s="581"/>
      <c r="AO275" s="581"/>
      <c r="AP275" s="579"/>
      <c r="AQ275" s="582"/>
      <c r="AR275" s="581"/>
      <c r="AS275" s="581"/>
      <c r="AT275" s="581"/>
      <c r="AU275" s="581"/>
      <c r="AV275" s="581"/>
      <c r="AW275" s="581"/>
      <c r="AX275" s="581"/>
      <c r="AY275" s="581"/>
      <c r="AZ275" s="581"/>
      <c r="BA275" s="581"/>
      <c r="BB275" s="581"/>
      <c r="BC275" s="581"/>
      <c r="BD275" s="581"/>
      <c r="BE275" s="581"/>
      <c r="BF275" s="581"/>
      <c r="BG275" s="581"/>
      <c r="BH275" s="581"/>
      <c r="BI275" s="581"/>
      <c r="BJ275" s="581"/>
      <c r="BK275" s="581"/>
      <c r="BL275" s="581"/>
      <c r="BM275" s="581"/>
      <c r="BN275" s="581"/>
      <c r="BO275" s="581"/>
      <c r="BP275" s="581"/>
      <c r="BQ275" s="581"/>
      <c r="BR275" s="581"/>
      <c r="BS275" s="581"/>
      <c r="BT275" s="581"/>
      <c r="BU275" s="581"/>
      <c r="BV275" s="581"/>
      <c r="BW275" s="581"/>
      <c r="BX275" s="581"/>
      <c r="BY275" s="581"/>
      <c r="BZ275" s="581"/>
      <c r="CA275" s="581"/>
      <c r="CB275" s="581"/>
      <c r="CC275" s="581"/>
      <c r="CD275" s="581"/>
      <c r="CE275" s="581"/>
      <c r="CF275" s="581"/>
      <c r="CG275" s="581"/>
      <c r="CH275" s="581"/>
      <c r="CI275" s="581"/>
      <c r="CJ275" s="581"/>
      <c r="CK275" s="581"/>
      <c r="CL275" s="581"/>
      <c r="CM275" s="581"/>
      <c r="CN275" s="581"/>
      <c r="CO275" s="581"/>
      <c r="CP275" s="581"/>
      <c r="CQ275" s="581"/>
      <c r="CR275" s="581"/>
      <c r="CS275" s="581"/>
      <c r="CT275" s="581"/>
      <c r="CU275" s="581"/>
      <c r="CV275" s="581"/>
      <c r="CW275" s="581"/>
      <c r="CX275" s="581"/>
      <c r="CY275" s="581"/>
      <c r="CZ275" s="581"/>
      <c r="DA275" s="581"/>
      <c r="DB275" s="581"/>
      <c r="DC275" s="581"/>
      <c r="DD275" s="581"/>
      <c r="DE275" s="581"/>
      <c r="DF275" s="581"/>
      <c r="DG275" s="581"/>
      <c r="DH275" s="581"/>
      <c r="DI275" s="581"/>
      <c r="DJ275" s="581"/>
      <c r="DK275" s="581"/>
      <c r="DL275" s="581"/>
      <c r="DM275" s="581"/>
      <c r="DN275" s="581"/>
      <c r="DO275" s="581"/>
      <c r="DP275" s="581"/>
      <c r="DQ275" s="581"/>
      <c r="DR275" s="581"/>
      <c r="DS275" s="581"/>
      <c r="DT275" s="581"/>
      <c r="DU275" s="581"/>
      <c r="DV275" s="581"/>
      <c r="DW275" s="581"/>
      <c r="DX275" s="581"/>
      <c r="DY275" s="581"/>
      <c r="DZ275" s="581"/>
      <c r="EA275" s="581"/>
      <c r="EB275" s="581"/>
      <c r="EC275" s="581"/>
      <c r="ED275" s="581"/>
      <c r="EE275" s="581"/>
      <c r="EF275" s="581"/>
      <c r="EG275" s="581"/>
      <c r="EH275" s="581"/>
      <c r="EI275" s="581"/>
      <c r="EJ275" s="581"/>
    </row>
    <row r="276" spans="7:140" ht="12">
      <c r="G276" s="597"/>
      <c r="H276" s="544"/>
      <c r="I276" s="544"/>
      <c r="J276" s="596"/>
      <c r="AG276" s="578"/>
      <c r="AH276" s="578"/>
      <c r="AI276" s="578"/>
      <c r="AJ276" s="578"/>
      <c r="AK276" s="578"/>
      <c r="AL276" s="579"/>
      <c r="AM276" s="580"/>
      <c r="AN276" s="581"/>
      <c r="AO276" s="581"/>
      <c r="AP276" s="579"/>
      <c r="AQ276" s="582"/>
      <c r="AR276" s="581"/>
      <c r="AS276" s="581"/>
      <c r="AT276" s="581"/>
      <c r="AU276" s="581"/>
      <c r="AV276" s="581"/>
      <c r="AW276" s="581"/>
      <c r="AX276" s="581"/>
      <c r="AY276" s="581"/>
      <c r="AZ276" s="581"/>
      <c r="BA276" s="581"/>
      <c r="BB276" s="581"/>
      <c r="BC276" s="581"/>
      <c r="BD276" s="581"/>
      <c r="BE276" s="581"/>
      <c r="BF276" s="581"/>
      <c r="BG276" s="581"/>
      <c r="BH276" s="581"/>
      <c r="BI276" s="581"/>
      <c r="BJ276" s="581"/>
      <c r="BK276" s="581"/>
      <c r="BL276" s="581"/>
      <c r="BM276" s="581"/>
      <c r="BN276" s="581"/>
      <c r="BO276" s="581"/>
      <c r="BP276" s="581"/>
      <c r="BQ276" s="581"/>
      <c r="BR276" s="581"/>
      <c r="BS276" s="581"/>
      <c r="BT276" s="581"/>
      <c r="BU276" s="581"/>
      <c r="BV276" s="581"/>
      <c r="BW276" s="581"/>
      <c r="BX276" s="581"/>
      <c r="BY276" s="581"/>
      <c r="BZ276" s="581"/>
      <c r="CA276" s="581"/>
      <c r="CB276" s="581"/>
      <c r="CC276" s="581"/>
      <c r="CD276" s="581"/>
      <c r="CE276" s="581"/>
      <c r="CF276" s="581"/>
      <c r="CG276" s="581"/>
      <c r="CH276" s="581"/>
      <c r="CI276" s="581"/>
      <c r="CJ276" s="581"/>
      <c r="CK276" s="581"/>
      <c r="CL276" s="581"/>
      <c r="CM276" s="581"/>
      <c r="CN276" s="581"/>
      <c r="CO276" s="581"/>
      <c r="CP276" s="581"/>
      <c r="CQ276" s="581"/>
      <c r="CR276" s="581"/>
      <c r="CS276" s="581"/>
      <c r="CT276" s="581"/>
      <c r="CU276" s="581"/>
      <c r="CV276" s="581"/>
      <c r="CW276" s="581"/>
      <c r="CX276" s="581"/>
      <c r="CY276" s="581"/>
      <c r="CZ276" s="581"/>
      <c r="DA276" s="581"/>
      <c r="DB276" s="581"/>
      <c r="DC276" s="581"/>
      <c r="DD276" s="581"/>
      <c r="DE276" s="581"/>
      <c r="DF276" s="581"/>
      <c r="DG276" s="581"/>
      <c r="DH276" s="581"/>
      <c r="DI276" s="581"/>
      <c r="DJ276" s="581"/>
      <c r="DK276" s="581"/>
      <c r="DL276" s="581"/>
      <c r="DM276" s="581"/>
      <c r="DN276" s="581"/>
      <c r="DO276" s="581"/>
      <c r="DP276" s="581"/>
      <c r="DQ276" s="581"/>
      <c r="DR276" s="581"/>
      <c r="DS276" s="581"/>
      <c r="DT276" s="581"/>
      <c r="DU276" s="581"/>
      <c r="DV276" s="581"/>
      <c r="DW276" s="581"/>
      <c r="DX276" s="581"/>
      <c r="DY276" s="581"/>
      <c r="DZ276" s="581"/>
      <c r="EA276" s="581"/>
      <c r="EB276" s="581"/>
      <c r="EC276" s="581"/>
      <c r="ED276" s="581"/>
      <c r="EE276" s="581"/>
      <c r="EF276" s="581"/>
      <c r="EG276" s="581"/>
      <c r="EH276" s="581"/>
      <c r="EI276" s="581"/>
      <c r="EJ276" s="581"/>
    </row>
    <row r="277" spans="7:140" ht="12">
      <c r="G277" s="597"/>
      <c r="H277" s="544"/>
      <c r="I277" s="544"/>
      <c r="J277" s="596"/>
      <c r="AG277" s="578"/>
      <c r="AH277" s="578"/>
      <c r="AI277" s="578"/>
      <c r="AJ277" s="578"/>
      <c r="AK277" s="578"/>
      <c r="AL277" s="579"/>
      <c r="AM277" s="580"/>
      <c r="AN277" s="581"/>
      <c r="AO277" s="581"/>
      <c r="AP277" s="579"/>
      <c r="AQ277" s="582"/>
      <c r="AR277" s="581"/>
      <c r="AS277" s="581"/>
      <c r="AT277" s="581"/>
      <c r="AU277" s="581"/>
      <c r="AV277" s="581"/>
      <c r="AW277" s="581"/>
      <c r="AX277" s="581"/>
      <c r="AY277" s="581"/>
      <c r="AZ277" s="581"/>
      <c r="BA277" s="581"/>
      <c r="BB277" s="581"/>
      <c r="BC277" s="581"/>
      <c r="BD277" s="581"/>
      <c r="BE277" s="581"/>
      <c r="BF277" s="581"/>
      <c r="BG277" s="581"/>
      <c r="BH277" s="581"/>
      <c r="BI277" s="581"/>
      <c r="BJ277" s="581"/>
      <c r="BK277" s="581"/>
      <c r="BL277" s="581"/>
      <c r="BM277" s="581"/>
      <c r="BN277" s="581"/>
      <c r="BO277" s="581"/>
      <c r="BP277" s="581"/>
      <c r="BQ277" s="581"/>
      <c r="BR277" s="581"/>
      <c r="BS277" s="581"/>
      <c r="BT277" s="581"/>
      <c r="BU277" s="581"/>
      <c r="BV277" s="581"/>
      <c r="BW277" s="581"/>
      <c r="BX277" s="581"/>
      <c r="BY277" s="581"/>
      <c r="BZ277" s="581"/>
      <c r="CA277" s="581"/>
      <c r="CB277" s="581"/>
      <c r="CC277" s="581"/>
      <c r="CD277" s="581"/>
      <c r="CE277" s="581"/>
      <c r="CF277" s="581"/>
      <c r="CG277" s="581"/>
      <c r="CH277" s="581"/>
      <c r="CI277" s="581"/>
      <c r="CJ277" s="581"/>
      <c r="CK277" s="581"/>
      <c r="CL277" s="581"/>
      <c r="CM277" s="581"/>
      <c r="CN277" s="581"/>
      <c r="CO277" s="581"/>
      <c r="CP277" s="581"/>
      <c r="CQ277" s="581"/>
      <c r="CR277" s="581"/>
      <c r="CS277" s="581"/>
      <c r="CT277" s="581"/>
      <c r="CU277" s="581"/>
      <c r="CV277" s="581"/>
      <c r="CW277" s="581"/>
      <c r="CX277" s="581"/>
      <c r="CY277" s="581"/>
      <c r="CZ277" s="581"/>
      <c r="DA277" s="581"/>
      <c r="DB277" s="581"/>
      <c r="DC277" s="581"/>
      <c r="DD277" s="581"/>
      <c r="DE277" s="581"/>
      <c r="DF277" s="581"/>
      <c r="DG277" s="581"/>
      <c r="DH277" s="581"/>
      <c r="DI277" s="581"/>
      <c r="DJ277" s="581"/>
      <c r="DK277" s="581"/>
      <c r="DL277" s="581"/>
      <c r="DM277" s="581"/>
      <c r="DN277" s="581"/>
      <c r="DO277" s="581"/>
      <c r="DP277" s="581"/>
      <c r="DQ277" s="581"/>
      <c r="DR277" s="581"/>
      <c r="DS277" s="581"/>
      <c r="DT277" s="581"/>
      <c r="DU277" s="581"/>
      <c r="DV277" s="581"/>
      <c r="DW277" s="581"/>
      <c r="DX277" s="581"/>
      <c r="DY277" s="581"/>
      <c r="DZ277" s="581"/>
      <c r="EA277" s="581"/>
      <c r="EB277" s="581"/>
      <c r="EC277" s="581"/>
      <c r="ED277" s="581"/>
      <c r="EE277" s="581"/>
      <c r="EF277" s="581"/>
      <c r="EG277" s="581"/>
      <c r="EH277" s="581"/>
      <c r="EI277" s="581"/>
      <c r="EJ277" s="581"/>
    </row>
    <row r="278" spans="7:140" ht="12">
      <c r="G278" s="597"/>
      <c r="H278" s="544"/>
      <c r="I278" s="544"/>
      <c r="J278" s="596"/>
      <c r="AG278" s="578"/>
      <c r="AH278" s="578"/>
      <c r="AI278" s="578"/>
      <c r="AJ278" s="578"/>
      <c r="AK278" s="578"/>
      <c r="AL278" s="579"/>
      <c r="AM278" s="580"/>
      <c r="AN278" s="581"/>
      <c r="AO278" s="581"/>
      <c r="AP278" s="579"/>
      <c r="AQ278" s="582"/>
      <c r="AR278" s="581"/>
      <c r="AS278" s="581"/>
      <c r="AT278" s="581"/>
      <c r="AU278" s="581"/>
      <c r="AV278" s="581"/>
      <c r="AW278" s="581"/>
      <c r="AX278" s="581"/>
      <c r="AY278" s="581"/>
      <c r="AZ278" s="581"/>
      <c r="BA278" s="581"/>
      <c r="BB278" s="581"/>
      <c r="BC278" s="581"/>
      <c r="BD278" s="581"/>
      <c r="BE278" s="581"/>
      <c r="BF278" s="581"/>
      <c r="BG278" s="581"/>
      <c r="BH278" s="581"/>
      <c r="BI278" s="581"/>
      <c r="BJ278" s="581"/>
      <c r="BK278" s="581"/>
      <c r="BL278" s="581"/>
      <c r="BM278" s="581"/>
      <c r="BN278" s="581"/>
      <c r="BO278" s="581"/>
      <c r="BP278" s="581"/>
      <c r="BQ278" s="581"/>
      <c r="BR278" s="581"/>
      <c r="BS278" s="581"/>
      <c r="BT278" s="581"/>
      <c r="BU278" s="581"/>
      <c r="BV278" s="581"/>
      <c r="BW278" s="581"/>
      <c r="BX278" s="581"/>
      <c r="BY278" s="581"/>
      <c r="BZ278" s="581"/>
      <c r="CA278" s="581"/>
      <c r="CB278" s="581"/>
      <c r="CC278" s="581"/>
      <c r="CD278" s="581"/>
      <c r="CE278" s="581"/>
      <c r="CF278" s="581"/>
      <c r="CG278" s="581"/>
      <c r="CH278" s="581"/>
      <c r="CI278" s="581"/>
      <c r="CJ278" s="581"/>
      <c r="CK278" s="581"/>
      <c r="CL278" s="581"/>
      <c r="CM278" s="581"/>
      <c r="CN278" s="581"/>
      <c r="CO278" s="581"/>
      <c r="CP278" s="581"/>
      <c r="CQ278" s="581"/>
      <c r="CR278" s="581"/>
      <c r="CS278" s="581"/>
      <c r="CT278" s="581"/>
      <c r="CU278" s="581"/>
      <c r="CV278" s="581"/>
      <c r="CW278" s="581"/>
      <c r="CX278" s="581"/>
      <c r="CY278" s="581"/>
      <c r="CZ278" s="581"/>
      <c r="DA278" s="581"/>
      <c r="DB278" s="581"/>
      <c r="DC278" s="581"/>
      <c r="DD278" s="581"/>
      <c r="DE278" s="581"/>
      <c r="DF278" s="581"/>
      <c r="DG278" s="581"/>
      <c r="DH278" s="581"/>
      <c r="DI278" s="581"/>
      <c r="DJ278" s="581"/>
      <c r="DK278" s="581"/>
      <c r="DL278" s="581"/>
      <c r="DM278" s="581"/>
      <c r="DN278" s="581"/>
      <c r="DO278" s="581"/>
      <c r="DP278" s="581"/>
      <c r="DQ278" s="581"/>
      <c r="DR278" s="581"/>
      <c r="DS278" s="581"/>
      <c r="DT278" s="581"/>
      <c r="DU278" s="581"/>
      <c r="DV278" s="581"/>
      <c r="DW278" s="581"/>
      <c r="DX278" s="581"/>
      <c r="DY278" s="581"/>
      <c r="DZ278" s="581"/>
      <c r="EA278" s="581"/>
      <c r="EB278" s="581"/>
      <c r="EC278" s="581"/>
      <c r="ED278" s="581"/>
      <c r="EE278" s="581"/>
      <c r="EF278" s="581"/>
      <c r="EG278" s="581"/>
      <c r="EH278" s="581"/>
      <c r="EI278" s="581"/>
      <c r="EJ278" s="581"/>
    </row>
    <row r="279" spans="7:140" ht="12">
      <c r="G279" s="597"/>
      <c r="H279" s="544"/>
      <c r="I279" s="544"/>
      <c r="J279" s="596"/>
      <c r="AG279" s="578"/>
      <c r="AH279" s="578"/>
      <c r="AI279" s="578"/>
      <c r="AJ279" s="578"/>
      <c r="AK279" s="578"/>
      <c r="AL279" s="579"/>
      <c r="AM279" s="580"/>
      <c r="AN279" s="581"/>
      <c r="AO279" s="581"/>
      <c r="AP279" s="579"/>
      <c r="AQ279" s="582"/>
      <c r="AR279" s="581"/>
      <c r="AS279" s="581"/>
      <c r="AT279" s="581"/>
      <c r="AU279" s="581"/>
      <c r="AV279" s="581"/>
      <c r="AW279" s="581"/>
      <c r="AX279" s="581"/>
      <c r="AY279" s="581"/>
      <c r="AZ279" s="581"/>
      <c r="BA279" s="581"/>
      <c r="BB279" s="581"/>
      <c r="BC279" s="581"/>
      <c r="BD279" s="581"/>
      <c r="BE279" s="581"/>
      <c r="BF279" s="581"/>
      <c r="BG279" s="581"/>
      <c r="BH279" s="581"/>
      <c r="BI279" s="581"/>
      <c r="BJ279" s="581"/>
      <c r="BK279" s="581"/>
      <c r="BL279" s="581"/>
      <c r="BM279" s="581"/>
      <c r="BN279" s="581"/>
      <c r="BO279" s="581"/>
      <c r="BP279" s="581"/>
      <c r="BQ279" s="581"/>
      <c r="BR279" s="581"/>
      <c r="BS279" s="581"/>
      <c r="BT279" s="581"/>
      <c r="BU279" s="581"/>
      <c r="BV279" s="581"/>
      <c r="BW279" s="581"/>
      <c r="BX279" s="581"/>
      <c r="BY279" s="581"/>
      <c r="BZ279" s="581"/>
      <c r="CA279" s="581"/>
      <c r="CB279" s="581"/>
      <c r="CC279" s="581"/>
      <c r="CD279" s="581"/>
      <c r="CE279" s="581"/>
      <c r="CF279" s="581"/>
      <c r="CG279" s="581"/>
      <c r="CH279" s="581"/>
      <c r="CI279" s="581"/>
      <c r="CJ279" s="581"/>
      <c r="CK279" s="581"/>
      <c r="CL279" s="581"/>
      <c r="CM279" s="581"/>
      <c r="CN279" s="581"/>
      <c r="CO279" s="581"/>
      <c r="CP279" s="581"/>
      <c r="CQ279" s="581"/>
      <c r="CR279" s="581"/>
      <c r="CS279" s="581"/>
      <c r="CT279" s="581"/>
      <c r="CU279" s="581"/>
      <c r="CV279" s="581"/>
      <c r="CW279" s="581"/>
      <c r="CX279" s="581"/>
      <c r="CY279" s="581"/>
      <c r="CZ279" s="581"/>
      <c r="DA279" s="581"/>
      <c r="DB279" s="581"/>
      <c r="DC279" s="581"/>
      <c r="DD279" s="581"/>
      <c r="DE279" s="581"/>
      <c r="DF279" s="581"/>
      <c r="DG279" s="581"/>
      <c r="DH279" s="581"/>
      <c r="DI279" s="581"/>
      <c r="DJ279" s="581"/>
      <c r="DK279" s="581"/>
      <c r="DL279" s="581"/>
      <c r="DM279" s="581"/>
      <c r="DN279" s="581"/>
      <c r="DO279" s="581"/>
      <c r="DP279" s="581"/>
      <c r="DQ279" s="581"/>
      <c r="DR279" s="581"/>
      <c r="DS279" s="581"/>
      <c r="DT279" s="581"/>
      <c r="DU279" s="581"/>
      <c r="DV279" s="581"/>
      <c r="DW279" s="581"/>
      <c r="DX279" s="581"/>
      <c r="DY279" s="581"/>
      <c r="DZ279" s="581"/>
      <c r="EA279" s="581"/>
      <c r="EB279" s="581"/>
      <c r="EC279" s="581"/>
      <c r="ED279" s="581"/>
      <c r="EE279" s="581"/>
      <c r="EF279" s="581"/>
      <c r="EG279" s="581"/>
      <c r="EH279" s="581"/>
      <c r="EI279" s="581"/>
      <c r="EJ279" s="581"/>
    </row>
    <row r="280" spans="7:140" ht="12">
      <c r="G280" s="597"/>
      <c r="H280" s="544"/>
      <c r="I280" s="544"/>
      <c r="J280" s="596"/>
      <c r="AG280" s="578"/>
      <c r="AH280" s="578"/>
      <c r="AI280" s="578"/>
      <c r="AJ280" s="578"/>
      <c r="AK280" s="578"/>
      <c r="AL280" s="579"/>
      <c r="AM280" s="580"/>
      <c r="AN280" s="581"/>
      <c r="AO280" s="581"/>
      <c r="AP280" s="579"/>
      <c r="AQ280" s="582"/>
      <c r="AR280" s="581"/>
      <c r="AS280" s="581"/>
      <c r="AT280" s="581"/>
      <c r="AU280" s="581"/>
      <c r="AV280" s="581"/>
      <c r="AW280" s="581"/>
      <c r="AX280" s="581"/>
      <c r="AY280" s="581"/>
      <c r="AZ280" s="581"/>
      <c r="BA280" s="581"/>
      <c r="BB280" s="581"/>
      <c r="BC280" s="581"/>
      <c r="BD280" s="581"/>
      <c r="BE280" s="581"/>
      <c r="BF280" s="581"/>
      <c r="BG280" s="581"/>
      <c r="BH280" s="581"/>
      <c r="BI280" s="581"/>
      <c r="BJ280" s="581"/>
      <c r="BK280" s="581"/>
      <c r="BL280" s="581"/>
      <c r="BM280" s="581"/>
      <c r="BN280" s="581"/>
      <c r="BO280" s="581"/>
      <c r="BP280" s="581"/>
      <c r="BQ280" s="581"/>
      <c r="BR280" s="581"/>
      <c r="BS280" s="581"/>
      <c r="BT280" s="581"/>
      <c r="BU280" s="581"/>
      <c r="BV280" s="581"/>
      <c r="BW280" s="581"/>
      <c r="BX280" s="581"/>
      <c r="BY280" s="581"/>
      <c r="BZ280" s="581"/>
      <c r="CA280" s="581"/>
      <c r="CB280" s="581"/>
      <c r="CC280" s="581"/>
      <c r="CD280" s="581"/>
      <c r="CE280" s="581"/>
      <c r="CF280" s="581"/>
      <c r="CG280" s="581"/>
      <c r="CH280" s="581"/>
      <c r="CI280" s="581"/>
      <c r="CJ280" s="581"/>
      <c r="CK280" s="581"/>
      <c r="CL280" s="581"/>
      <c r="CM280" s="581"/>
      <c r="CN280" s="581"/>
      <c r="CO280" s="581"/>
      <c r="CP280" s="581"/>
      <c r="CQ280" s="581"/>
      <c r="CR280" s="581"/>
      <c r="CS280" s="581"/>
      <c r="CT280" s="581"/>
      <c r="CU280" s="581"/>
      <c r="CV280" s="581"/>
      <c r="CW280" s="581"/>
      <c r="CX280" s="581"/>
      <c r="CY280" s="581"/>
      <c r="CZ280" s="581"/>
      <c r="DA280" s="581"/>
      <c r="DB280" s="581"/>
      <c r="DC280" s="581"/>
      <c r="DD280" s="581"/>
      <c r="DE280" s="581"/>
      <c r="DF280" s="581"/>
      <c r="DG280" s="581"/>
      <c r="DH280" s="581"/>
      <c r="DI280" s="581"/>
      <c r="DJ280" s="581"/>
      <c r="DK280" s="581"/>
      <c r="DL280" s="581"/>
      <c r="DM280" s="581"/>
      <c r="DN280" s="581"/>
      <c r="DO280" s="581"/>
      <c r="DP280" s="581"/>
      <c r="DQ280" s="581"/>
      <c r="DR280" s="581"/>
      <c r="DS280" s="581"/>
      <c r="DT280" s="581"/>
      <c r="DU280" s="581"/>
      <c r="DV280" s="581"/>
      <c r="DW280" s="581"/>
      <c r="DX280" s="581"/>
      <c r="DY280" s="581"/>
      <c r="DZ280" s="581"/>
      <c r="EA280" s="581"/>
      <c r="EB280" s="581"/>
      <c r="EC280" s="581"/>
      <c r="ED280" s="581"/>
      <c r="EE280" s="581"/>
      <c r="EF280" s="581"/>
      <c r="EG280" s="581"/>
      <c r="EH280" s="581"/>
      <c r="EI280" s="581"/>
      <c r="EJ280" s="581"/>
    </row>
    <row r="281" spans="7:140" ht="12">
      <c r="G281" s="597"/>
      <c r="H281" s="544"/>
      <c r="I281" s="544"/>
      <c r="J281" s="596"/>
      <c r="AG281" s="578"/>
      <c r="AH281" s="578"/>
      <c r="AI281" s="578"/>
      <c r="AJ281" s="578"/>
      <c r="AK281" s="578"/>
      <c r="AL281" s="579"/>
      <c r="AM281" s="580"/>
      <c r="AN281" s="581"/>
      <c r="AO281" s="581"/>
      <c r="AP281" s="579"/>
      <c r="AQ281" s="582"/>
      <c r="AR281" s="581"/>
      <c r="AS281" s="581"/>
      <c r="AT281" s="581"/>
      <c r="AU281" s="581"/>
      <c r="AV281" s="581"/>
      <c r="AW281" s="581"/>
      <c r="AX281" s="581"/>
      <c r="AY281" s="581"/>
      <c r="AZ281" s="581"/>
      <c r="BA281" s="581"/>
      <c r="BB281" s="581"/>
      <c r="BC281" s="581"/>
      <c r="BD281" s="581"/>
      <c r="BE281" s="581"/>
      <c r="BF281" s="581"/>
      <c r="BG281" s="581"/>
      <c r="BH281" s="581"/>
      <c r="BI281" s="581"/>
      <c r="BJ281" s="581"/>
      <c r="BK281" s="581"/>
      <c r="BL281" s="581"/>
      <c r="BM281" s="581"/>
      <c r="BN281" s="581"/>
      <c r="BO281" s="581"/>
      <c r="BP281" s="581"/>
      <c r="BQ281" s="581"/>
      <c r="BR281" s="581"/>
      <c r="BS281" s="581"/>
      <c r="BT281" s="581"/>
      <c r="BU281" s="581"/>
      <c r="BV281" s="581"/>
      <c r="BW281" s="581"/>
      <c r="BX281" s="581"/>
      <c r="BY281" s="581"/>
      <c r="BZ281" s="581"/>
      <c r="CA281" s="581"/>
      <c r="CB281" s="581"/>
      <c r="CC281" s="581"/>
      <c r="CD281" s="581"/>
      <c r="CE281" s="581"/>
      <c r="CF281" s="581"/>
      <c r="CG281" s="581"/>
      <c r="CH281" s="581"/>
      <c r="CI281" s="581"/>
      <c r="CJ281" s="581"/>
      <c r="CK281" s="581"/>
      <c r="CL281" s="581"/>
      <c r="CM281" s="581"/>
      <c r="CN281" s="581"/>
      <c r="CO281" s="581"/>
      <c r="CP281" s="581"/>
      <c r="CQ281" s="581"/>
      <c r="CR281" s="581"/>
      <c r="CS281" s="581"/>
      <c r="CT281" s="581"/>
      <c r="CU281" s="581"/>
      <c r="CV281" s="581"/>
      <c r="CW281" s="581"/>
      <c r="CX281" s="581"/>
      <c r="CY281" s="581"/>
      <c r="CZ281" s="581"/>
      <c r="DA281" s="581"/>
      <c r="DB281" s="581"/>
      <c r="DC281" s="581"/>
      <c r="DD281" s="581"/>
      <c r="DE281" s="581"/>
      <c r="DF281" s="581"/>
      <c r="DG281" s="581"/>
      <c r="DH281" s="581"/>
      <c r="DI281" s="581"/>
      <c r="DJ281" s="581"/>
      <c r="DK281" s="581"/>
      <c r="DL281" s="581"/>
      <c r="DM281" s="581"/>
      <c r="DN281" s="581"/>
      <c r="DO281" s="581"/>
      <c r="DP281" s="581"/>
      <c r="DQ281" s="581"/>
      <c r="DR281" s="581"/>
      <c r="DS281" s="581"/>
      <c r="DT281" s="581"/>
      <c r="DU281" s="581"/>
      <c r="DV281" s="581"/>
      <c r="DW281" s="581"/>
      <c r="DX281" s="581"/>
      <c r="DY281" s="581"/>
      <c r="DZ281" s="581"/>
      <c r="EA281" s="581"/>
      <c r="EB281" s="581"/>
      <c r="EC281" s="581"/>
      <c r="ED281" s="581"/>
      <c r="EE281" s="581"/>
      <c r="EF281" s="581"/>
      <c r="EG281" s="581"/>
      <c r="EH281" s="581"/>
      <c r="EI281" s="581"/>
      <c r="EJ281" s="581"/>
    </row>
  </sheetData>
  <sheetProtection password="E9DA"/>
  <printOptions/>
  <pageMargins left="0.83" right="0.28" top="1.02" bottom="0.63" header="0.34" footer="0.2"/>
  <pageSetup cellComments="atEnd" fitToHeight="0" fitToWidth="1" horizontalDpi="600" verticalDpi="600" orientation="landscape" paperSize="5" scale="72" r:id="rId3"/>
  <headerFooter alignWithMargins="0">
    <oddHeader xml:space="preserve">&amp;C&amp;"Palatino,Bold"&amp;18Master Plan for Education Technology
 Budget
FY 2007 - 2012 (DRAFT)
&amp;R&amp;"Palatino,Bold"&amp;P    </oddHeader>
    <oddFooter>&amp;L&amp;"MS Sans Serif,Bold"&amp;18Draft&amp;R&amp;D&amp;T</oddFooter>
  </headerFooter>
  <rowBreaks count="2" manualBreakCount="2">
    <brk id="51" max="255" man="1"/>
    <brk id="136" max="255" man="1"/>
  </rowBreaks>
  <legacyDrawing r:id="rId2"/>
</worksheet>
</file>

<file path=xl/worksheets/sheet4.xml><?xml version="1.0" encoding="utf-8"?>
<worksheet xmlns="http://schemas.openxmlformats.org/spreadsheetml/2006/main" xmlns:r="http://schemas.openxmlformats.org/officeDocument/2006/relationships">
  <dimension ref="A1:K135"/>
  <sheetViews>
    <sheetView zoomScalePageLayoutView="0" workbookViewId="0" topLeftCell="A1">
      <selection activeCell="B9" sqref="B9"/>
    </sheetView>
  </sheetViews>
  <sheetFormatPr defaultColWidth="9.140625" defaultRowHeight="12.75"/>
  <cols>
    <col min="1" max="1" width="64.28125" style="0" customWidth="1"/>
    <col min="2" max="2" width="12.7109375" style="0" customWidth="1"/>
    <col min="3" max="3" width="10.28125" style="0" customWidth="1"/>
    <col min="4" max="4" width="16.7109375" style="0" hidden="1" customWidth="1"/>
    <col min="5" max="5" width="11.28125" style="0" customWidth="1"/>
    <col min="6" max="6" width="19.421875" style="0" customWidth="1"/>
    <col min="7" max="7" width="4.8515625" style="0" hidden="1" customWidth="1"/>
    <col min="8" max="8" width="16.7109375" style="0" customWidth="1"/>
    <col min="9" max="10" width="22.421875" style="0" customWidth="1"/>
    <col min="11" max="11" width="13.57421875" style="0" customWidth="1"/>
  </cols>
  <sheetData>
    <row r="1" spans="1:11" ht="62.25" thickBot="1">
      <c r="A1" s="38"/>
      <c r="B1" s="39" t="s">
        <v>4</v>
      </c>
      <c r="C1" s="134" t="s">
        <v>5</v>
      </c>
      <c r="D1" s="316" t="s">
        <v>6</v>
      </c>
      <c r="E1" s="110" t="s">
        <v>7</v>
      </c>
      <c r="F1" s="110" t="s">
        <v>8</v>
      </c>
      <c r="G1" s="515" t="s">
        <v>9</v>
      </c>
      <c r="H1" s="40" t="s">
        <v>10</v>
      </c>
      <c r="I1" s="41" t="s">
        <v>11</v>
      </c>
      <c r="J1" s="41" t="s">
        <v>12</v>
      </c>
      <c r="K1" s="39" t="s">
        <v>13</v>
      </c>
    </row>
    <row r="2" spans="1:11" ht="24" thickBot="1" thickTop="1">
      <c r="A2" s="525" t="s">
        <v>14</v>
      </c>
      <c r="B2" s="45"/>
      <c r="C2" s="86"/>
      <c r="D2" s="318"/>
      <c r="E2" s="112"/>
      <c r="F2" s="112"/>
      <c r="G2" s="46"/>
      <c r="H2" s="46"/>
      <c r="I2" s="63"/>
      <c r="J2" s="63"/>
      <c r="K2" s="48"/>
    </row>
    <row r="3" spans="1:11" ht="15.75" thickTop="1">
      <c r="A3" s="84" t="s">
        <v>15</v>
      </c>
      <c r="B3" s="49"/>
      <c r="C3" s="88"/>
      <c r="D3" s="319"/>
      <c r="E3" s="113"/>
      <c r="F3" s="113"/>
      <c r="G3" s="50"/>
      <c r="H3" s="50"/>
      <c r="I3" s="51"/>
      <c r="J3" s="51"/>
      <c r="K3" s="52"/>
    </row>
    <row r="4" spans="1:11" ht="20.25">
      <c r="A4" s="99" t="s">
        <v>16</v>
      </c>
      <c r="B4" s="65"/>
      <c r="C4" s="90"/>
      <c r="D4" s="325"/>
      <c r="E4" s="117"/>
      <c r="F4" s="117"/>
      <c r="G4" s="66"/>
      <c r="H4" s="66"/>
      <c r="I4" s="67"/>
      <c r="J4" s="67"/>
      <c r="K4" s="68"/>
    </row>
    <row r="5" spans="1:11" ht="15">
      <c r="A5" s="345" t="s">
        <v>17</v>
      </c>
      <c r="B5" s="54">
        <v>1205.5568875</v>
      </c>
      <c r="C5" s="382">
        <v>95042.5</v>
      </c>
      <c r="D5" s="320">
        <v>7039560.368749999</v>
      </c>
      <c r="E5" s="142">
        <v>200.92614791666665</v>
      </c>
      <c r="F5" s="98">
        <v>19096523.41336979</v>
      </c>
      <c r="G5" s="107">
        <v>6</v>
      </c>
      <c r="H5" s="388">
        <v>0</v>
      </c>
      <c r="I5" s="43">
        <v>114579140.48021874</v>
      </c>
      <c r="J5" s="43">
        <v>114579140.48021874</v>
      </c>
      <c r="K5" s="44" t="s">
        <v>18</v>
      </c>
    </row>
    <row r="6" spans="1:11" ht="15">
      <c r="A6" s="344" t="s">
        <v>19</v>
      </c>
      <c r="B6" s="54">
        <v>138</v>
      </c>
      <c r="C6" s="382">
        <v>14662.166666666666</v>
      </c>
      <c r="D6" s="320">
        <v>168614.91666666666</v>
      </c>
      <c r="E6" s="142">
        <v>23</v>
      </c>
      <c r="F6" s="98">
        <v>337229.8333333333</v>
      </c>
      <c r="G6" s="107">
        <v>6</v>
      </c>
      <c r="H6" s="388">
        <v>0</v>
      </c>
      <c r="I6" s="43">
        <v>2023379</v>
      </c>
      <c r="J6" s="43">
        <v>2023379</v>
      </c>
      <c r="K6" s="44" t="s">
        <v>18</v>
      </c>
    </row>
    <row r="7" spans="1:11" ht="15">
      <c r="A7" s="344" t="s">
        <v>20</v>
      </c>
      <c r="B7" s="81">
        <v>1334.8155026875002</v>
      </c>
      <c r="C7" s="383">
        <v>39804</v>
      </c>
      <c r="D7" s="384">
        <v>3064908</v>
      </c>
      <c r="E7" s="142">
        <v>222.46925044791666</v>
      </c>
      <c r="F7" s="98">
        <v>8855166.044828875</v>
      </c>
      <c r="G7" s="109">
        <v>6</v>
      </c>
      <c r="H7" s="387">
        <v>0</v>
      </c>
      <c r="I7" s="43">
        <v>53130996.26897325</v>
      </c>
      <c r="J7" s="43">
        <v>53130996.26897325</v>
      </c>
      <c r="K7" s="44" t="s">
        <v>18</v>
      </c>
    </row>
    <row r="8" spans="1:11" ht="15">
      <c r="A8" s="344" t="s">
        <v>21</v>
      </c>
      <c r="B8" s="54">
        <v>330.85358333333335</v>
      </c>
      <c r="C8" s="383">
        <v>37734</v>
      </c>
      <c r="D8" s="384">
        <v>566010</v>
      </c>
      <c r="E8" s="142">
        <v>55.14226388888889</v>
      </c>
      <c r="F8" s="98">
        <v>2080738.1855833335</v>
      </c>
      <c r="G8" s="123">
        <v>6</v>
      </c>
      <c r="H8" s="387">
        <v>0</v>
      </c>
      <c r="I8" s="43">
        <v>12484429.1135</v>
      </c>
      <c r="J8" s="43">
        <v>12484429.1135</v>
      </c>
      <c r="K8" s="44" t="s">
        <v>18</v>
      </c>
    </row>
    <row r="9" spans="1:11" ht="15">
      <c r="A9" s="344" t="s">
        <v>22</v>
      </c>
      <c r="B9" s="54">
        <v>1394.3916666666664</v>
      </c>
      <c r="C9" s="383">
        <v>1736.74</v>
      </c>
      <c r="D9" s="384">
        <v>232723.16</v>
      </c>
      <c r="E9" s="142">
        <v>232.39861111111105</v>
      </c>
      <c r="F9" s="98">
        <v>403615.963861111</v>
      </c>
      <c r="G9" s="109">
        <v>6</v>
      </c>
      <c r="H9" s="387">
        <v>0</v>
      </c>
      <c r="I9" s="43">
        <v>2421695.783166666</v>
      </c>
      <c r="J9" s="43">
        <v>2421695.783166666</v>
      </c>
      <c r="K9" s="44" t="s">
        <v>18</v>
      </c>
    </row>
    <row r="10" spans="1:11" ht="15">
      <c r="A10" s="344" t="s">
        <v>23</v>
      </c>
      <c r="B10" s="54">
        <v>3980</v>
      </c>
      <c r="C10" s="383">
        <v>3103.74</v>
      </c>
      <c r="D10" s="384">
        <v>630059.22</v>
      </c>
      <c r="E10" s="142">
        <v>663.3333333333334</v>
      </c>
      <c r="F10" s="98">
        <v>2058814.2</v>
      </c>
      <c r="G10" s="109">
        <v>6</v>
      </c>
      <c r="H10" s="387">
        <v>1441169.94</v>
      </c>
      <c r="I10" s="43">
        <v>12352885.2</v>
      </c>
      <c r="J10" s="43">
        <v>8029375.379999999</v>
      </c>
      <c r="K10" s="44" t="s">
        <v>18</v>
      </c>
    </row>
    <row r="11" spans="1:11" ht="15">
      <c r="A11" s="69" t="s">
        <v>24</v>
      </c>
      <c r="B11" s="70" t="s">
        <v>25</v>
      </c>
      <c r="C11" s="91"/>
      <c r="D11" s="327">
        <v>11701875.665416667</v>
      </c>
      <c r="E11" s="119"/>
      <c r="F11" s="119">
        <v>32832087.64097644</v>
      </c>
      <c r="G11" s="71"/>
      <c r="H11" s="119">
        <v>1441169.94</v>
      </c>
      <c r="I11" s="70">
        <v>196992525.84585866</v>
      </c>
      <c r="J11" s="70">
        <v>192669016.02585867</v>
      </c>
      <c r="K11" s="72" t="s">
        <v>25</v>
      </c>
    </row>
    <row r="12" spans="1:11" ht="20.25">
      <c r="A12" s="100" t="s">
        <v>26</v>
      </c>
      <c r="B12" s="54"/>
      <c r="C12" s="85"/>
      <c r="D12" s="317"/>
      <c r="E12" s="111"/>
      <c r="F12" s="111" t="s">
        <v>25</v>
      </c>
      <c r="G12" s="42"/>
      <c r="H12" s="42"/>
      <c r="I12" s="43"/>
      <c r="J12" s="43"/>
      <c r="K12" s="44"/>
    </row>
    <row r="13" spans="1:11" ht="15">
      <c r="A13" s="344" t="s">
        <v>27</v>
      </c>
      <c r="B13" s="54">
        <v>1334.8155026875002</v>
      </c>
      <c r="C13" s="85">
        <v>6973</v>
      </c>
      <c r="D13" s="326">
        <v>536921</v>
      </c>
      <c r="E13" s="142">
        <v>222.4692504479167</v>
      </c>
      <c r="F13" s="98">
        <v>1551278.083373323</v>
      </c>
      <c r="G13" s="109">
        <v>6</v>
      </c>
      <c r="H13" s="387">
        <v>0</v>
      </c>
      <c r="I13" s="43">
        <v>9307668.500239938</v>
      </c>
      <c r="J13" s="43">
        <v>9307668.500239938</v>
      </c>
      <c r="K13" s="44" t="s">
        <v>18</v>
      </c>
    </row>
    <row r="14" spans="1:11" ht="15">
      <c r="A14" s="344" t="s">
        <v>28</v>
      </c>
      <c r="B14" s="54">
        <v>1394.3916666666664</v>
      </c>
      <c r="C14" s="85">
        <v>1436</v>
      </c>
      <c r="D14" s="326">
        <v>192424</v>
      </c>
      <c r="E14" s="142">
        <v>232.39861111111105</v>
      </c>
      <c r="F14" s="98">
        <v>333724.4055555555</v>
      </c>
      <c r="G14" s="109">
        <v>6</v>
      </c>
      <c r="H14" s="387">
        <v>0</v>
      </c>
      <c r="I14" s="43">
        <v>2002346.4333333329</v>
      </c>
      <c r="J14" s="43">
        <v>2002346.4333333329</v>
      </c>
      <c r="K14" s="44" t="s">
        <v>18</v>
      </c>
    </row>
    <row r="15" spans="1:11" ht="15">
      <c r="A15" s="344" t="s">
        <v>29</v>
      </c>
      <c r="B15" s="54">
        <v>7960</v>
      </c>
      <c r="C15" s="85">
        <v>1367</v>
      </c>
      <c r="D15" s="326">
        <v>277501</v>
      </c>
      <c r="E15" s="142">
        <v>1326.6666666666665</v>
      </c>
      <c r="F15" s="98">
        <v>1813553.3333333333</v>
      </c>
      <c r="G15" s="109">
        <v>6</v>
      </c>
      <c r="H15" s="387">
        <v>0</v>
      </c>
      <c r="I15" s="43">
        <v>10881320</v>
      </c>
      <c r="J15" s="43">
        <v>10881320</v>
      </c>
      <c r="K15" s="44" t="s">
        <v>18</v>
      </c>
    </row>
    <row r="16" spans="1:11" ht="15">
      <c r="A16" s="56" t="s">
        <v>30</v>
      </c>
      <c r="B16" s="59" t="s">
        <v>25</v>
      </c>
      <c r="C16" s="92"/>
      <c r="D16" s="328">
        <v>1006846</v>
      </c>
      <c r="E16" s="120"/>
      <c r="F16" s="120">
        <v>3698555.8222622117</v>
      </c>
      <c r="G16" s="73"/>
      <c r="H16" s="120">
        <v>0</v>
      </c>
      <c r="I16" s="59">
        <v>22191334.933573272</v>
      </c>
      <c r="J16" s="59">
        <v>22191334.933573272</v>
      </c>
      <c r="K16" s="44" t="s">
        <v>25</v>
      </c>
    </row>
    <row r="17" spans="1:11" ht="23.25">
      <c r="A17" s="342" t="s">
        <v>31</v>
      </c>
      <c r="B17" s="125" t="s">
        <v>25</v>
      </c>
      <c r="C17" s="126"/>
      <c r="D17" s="329">
        <v>12708721.665416667</v>
      </c>
      <c r="E17" s="143"/>
      <c r="F17" s="121">
        <v>36530643.46323865</v>
      </c>
      <c r="G17" s="75"/>
      <c r="H17" s="121">
        <v>1441169.94</v>
      </c>
      <c r="I17" s="74">
        <v>219183860.77943194</v>
      </c>
      <c r="J17" s="74">
        <v>214860350.95943195</v>
      </c>
      <c r="K17" s="60" t="s">
        <v>25</v>
      </c>
    </row>
    <row r="18" spans="1:11" ht="15">
      <c r="A18" s="84" t="s">
        <v>32</v>
      </c>
      <c r="B18" s="49"/>
      <c r="C18" s="88"/>
      <c r="D18" s="319"/>
      <c r="E18" s="113"/>
      <c r="F18" s="113"/>
      <c r="G18" s="50"/>
      <c r="H18" s="50"/>
      <c r="I18" s="51"/>
      <c r="J18" s="51"/>
      <c r="K18" s="52"/>
    </row>
    <row r="19" spans="1:11" ht="15">
      <c r="A19" s="344" t="s">
        <v>33</v>
      </c>
      <c r="B19" s="54">
        <v>60</v>
      </c>
      <c r="C19" s="85">
        <v>61372.48</v>
      </c>
      <c r="D19" s="330">
        <v>184117.44</v>
      </c>
      <c r="E19" s="142">
        <v>3</v>
      </c>
      <c r="F19" s="98">
        <v>184117.44</v>
      </c>
      <c r="G19" s="230">
        <v>20</v>
      </c>
      <c r="H19" s="387">
        <v>128882.20799999997</v>
      </c>
      <c r="I19" s="43">
        <v>1104704.64</v>
      </c>
      <c r="J19" s="43">
        <v>718058.0160000001</v>
      </c>
      <c r="K19" s="44" t="s">
        <v>34</v>
      </c>
    </row>
    <row r="20" spans="1:11" ht="15">
      <c r="A20" s="344" t="s">
        <v>35</v>
      </c>
      <c r="B20" s="54">
        <v>60</v>
      </c>
      <c r="C20" s="85">
        <v>37734</v>
      </c>
      <c r="D20" s="330">
        <v>113202</v>
      </c>
      <c r="E20" s="142">
        <v>3</v>
      </c>
      <c r="F20" s="98">
        <v>113202</v>
      </c>
      <c r="G20" s="230">
        <v>20</v>
      </c>
      <c r="H20" s="387">
        <v>79241.4</v>
      </c>
      <c r="I20" s="43">
        <v>679212</v>
      </c>
      <c r="J20" s="43">
        <v>441487.8</v>
      </c>
      <c r="K20" s="44" t="s">
        <v>34</v>
      </c>
    </row>
    <row r="21" spans="1:11" ht="15">
      <c r="A21" s="344" t="s">
        <v>36</v>
      </c>
      <c r="B21" s="76">
        <v>49.5</v>
      </c>
      <c r="C21" s="85">
        <v>37734</v>
      </c>
      <c r="D21" s="330">
        <v>93391.65</v>
      </c>
      <c r="E21" s="142">
        <v>2.475</v>
      </c>
      <c r="F21" s="98">
        <v>93391.65</v>
      </c>
      <c r="G21" s="230">
        <v>20</v>
      </c>
      <c r="H21" s="387">
        <v>65374.155</v>
      </c>
      <c r="I21" s="43">
        <v>560349.9</v>
      </c>
      <c r="J21" s="43">
        <v>364227.43500000006</v>
      </c>
      <c r="K21" s="44" t="s">
        <v>34</v>
      </c>
    </row>
    <row r="22" spans="1:11" ht="15">
      <c r="A22" s="344" t="s">
        <v>37</v>
      </c>
      <c r="B22" s="54">
        <v>60</v>
      </c>
      <c r="C22" s="85">
        <v>142563.75</v>
      </c>
      <c r="D22" s="330">
        <v>427691.25</v>
      </c>
      <c r="E22" s="142">
        <v>3</v>
      </c>
      <c r="F22" s="98">
        <v>427691.25</v>
      </c>
      <c r="G22" s="230">
        <v>20</v>
      </c>
      <c r="H22" s="387">
        <v>299383.875</v>
      </c>
      <c r="I22" s="43">
        <v>2566147.5</v>
      </c>
      <c r="J22" s="43">
        <v>1667995.875</v>
      </c>
      <c r="K22" s="44" t="s">
        <v>34</v>
      </c>
    </row>
    <row r="23" spans="1:11" ht="15">
      <c r="A23" s="344" t="s">
        <v>38</v>
      </c>
      <c r="B23" s="54">
        <v>60</v>
      </c>
      <c r="C23" s="85">
        <v>13331.5</v>
      </c>
      <c r="D23" s="330">
        <v>39994.5</v>
      </c>
      <c r="E23" s="142">
        <v>3</v>
      </c>
      <c r="F23" s="98">
        <v>39994.5</v>
      </c>
      <c r="G23" s="230">
        <v>20</v>
      </c>
      <c r="H23" s="387">
        <v>27996.15</v>
      </c>
      <c r="I23" s="43">
        <v>239967</v>
      </c>
      <c r="J23" s="43">
        <v>155978.55</v>
      </c>
      <c r="K23" s="44" t="s">
        <v>34</v>
      </c>
    </row>
    <row r="24" spans="1:11" ht="15">
      <c r="A24" s="344" t="s">
        <v>39</v>
      </c>
      <c r="B24" s="54">
        <v>60</v>
      </c>
      <c r="C24" s="85">
        <v>2734</v>
      </c>
      <c r="D24" s="330">
        <v>8202</v>
      </c>
      <c r="E24" s="142">
        <v>3</v>
      </c>
      <c r="F24" s="98">
        <v>8202</v>
      </c>
      <c r="G24" s="230">
        <v>20</v>
      </c>
      <c r="H24" s="387">
        <v>5741.4</v>
      </c>
      <c r="I24" s="43">
        <v>49212</v>
      </c>
      <c r="J24" s="43">
        <v>31987.8</v>
      </c>
      <c r="K24" s="44" t="s">
        <v>34</v>
      </c>
    </row>
    <row r="25" spans="1:11" ht="15">
      <c r="A25" s="344" t="s">
        <v>40</v>
      </c>
      <c r="B25" s="54">
        <v>1943</v>
      </c>
      <c r="C25" s="85">
        <v>2119.5</v>
      </c>
      <c r="D25" s="330">
        <v>205909.42500000002</v>
      </c>
      <c r="E25" s="142">
        <v>97.15</v>
      </c>
      <c r="F25" s="98">
        <v>205909.42500000002</v>
      </c>
      <c r="G25" s="230">
        <v>20</v>
      </c>
      <c r="H25" s="387">
        <v>144136.5975</v>
      </c>
      <c r="I25" s="43">
        <v>1235456.55</v>
      </c>
      <c r="J25" s="43">
        <v>803046.7575000001</v>
      </c>
      <c r="K25" s="44" t="s">
        <v>34</v>
      </c>
    </row>
    <row r="26" spans="1:11" ht="15">
      <c r="A26" s="344" t="s">
        <v>41</v>
      </c>
      <c r="B26" s="54">
        <v>122</v>
      </c>
      <c r="C26" s="85">
        <v>152082.98</v>
      </c>
      <c r="D26" s="330">
        <v>556623.7067999999</v>
      </c>
      <c r="E26" s="142">
        <v>12.2</v>
      </c>
      <c r="F26" s="98">
        <v>1855412.3559999997</v>
      </c>
      <c r="G26" s="109">
        <v>10</v>
      </c>
      <c r="H26" s="387">
        <v>1298788.6491999996</v>
      </c>
      <c r="I26" s="43">
        <v>11132474.135999998</v>
      </c>
      <c r="J26" s="43">
        <v>7236108.188399999</v>
      </c>
      <c r="K26" s="44" t="s">
        <v>18</v>
      </c>
    </row>
    <row r="27" spans="1:11" ht="15">
      <c r="A27" s="344" t="s">
        <v>42</v>
      </c>
      <c r="B27" s="54">
        <v>3300</v>
      </c>
      <c r="C27" s="85">
        <v>983</v>
      </c>
      <c r="D27" s="326">
        <v>167110</v>
      </c>
      <c r="E27" s="142">
        <v>330</v>
      </c>
      <c r="F27" s="98">
        <v>324390</v>
      </c>
      <c r="G27" s="109">
        <v>10</v>
      </c>
      <c r="H27" s="387">
        <v>227073</v>
      </c>
      <c r="I27" s="43">
        <v>1946340</v>
      </c>
      <c r="J27" s="43">
        <v>1265121</v>
      </c>
      <c r="K27" s="44" t="s">
        <v>18</v>
      </c>
    </row>
    <row r="28" spans="1:11" ht="15">
      <c r="A28" s="344" t="s">
        <v>43</v>
      </c>
      <c r="B28" s="54">
        <v>300</v>
      </c>
      <c r="C28" s="85">
        <v>453</v>
      </c>
      <c r="D28" s="326">
        <v>22650</v>
      </c>
      <c r="E28" s="142">
        <v>50</v>
      </c>
      <c r="F28" s="98">
        <v>22650</v>
      </c>
      <c r="G28" s="109">
        <v>6</v>
      </c>
      <c r="H28" s="387">
        <v>15855</v>
      </c>
      <c r="I28" s="43">
        <v>135900</v>
      </c>
      <c r="J28" s="43">
        <v>88335</v>
      </c>
      <c r="K28" s="44" t="s">
        <v>18</v>
      </c>
    </row>
    <row r="29" spans="1:11" ht="15">
      <c r="A29" s="344" t="s">
        <v>44</v>
      </c>
      <c r="B29" s="54">
        <v>1000</v>
      </c>
      <c r="C29" s="85">
        <v>635</v>
      </c>
      <c r="D29" s="330">
        <v>31750</v>
      </c>
      <c r="E29" s="142">
        <v>50</v>
      </c>
      <c r="F29" s="98">
        <v>31750</v>
      </c>
      <c r="G29" s="109">
        <v>20</v>
      </c>
      <c r="H29" s="387">
        <v>22225</v>
      </c>
      <c r="I29" s="43">
        <v>190500</v>
      </c>
      <c r="J29" s="43">
        <v>123825</v>
      </c>
      <c r="K29" s="44" t="s">
        <v>34</v>
      </c>
    </row>
    <row r="30" spans="1:11" ht="15">
      <c r="A30" s="342" t="s">
        <v>45</v>
      </c>
      <c r="B30" s="57"/>
      <c r="C30" s="89"/>
      <c r="D30" s="322">
        <v>1850641.9718</v>
      </c>
      <c r="E30" s="114"/>
      <c r="F30" s="114">
        <v>3306710.6209999993</v>
      </c>
      <c r="G30" s="58"/>
      <c r="H30" s="114">
        <v>2314697.4346999996</v>
      </c>
      <c r="I30" s="59">
        <v>19840263.725999996</v>
      </c>
      <c r="J30" s="59">
        <v>12896171.4219</v>
      </c>
      <c r="K30" s="60" t="s">
        <v>25</v>
      </c>
    </row>
    <row r="31" spans="1:11" ht="15">
      <c r="A31" s="80" t="s">
        <v>46</v>
      </c>
      <c r="B31" s="54"/>
      <c r="C31" s="85"/>
      <c r="D31" s="317"/>
      <c r="E31" s="111"/>
      <c r="F31" s="111"/>
      <c r="G31" s="42"/>
      <c r="H31" s="42"/>
      <c r="I31" s="43"/>
      <c r="J31" s="43"/>
      <c r="K31" s="44"/>
    </row>
    <row r="32" spans="1:11" ht="15">
      <c r="A32" s="344" t="s">
        <v>47</v>
      </c>
      <c r="B32" s="54">
        <v>7500</v>
      </c>
      <c r="C32" s="85">
        <v>1367</v>
      </c>
      <c r="D32" s="326">
        <v>85437.5</v>
      </c>
      <c r="E32" s="142">
        <v>1250</v>
      </c>
      <c r="F32" s="98">
        <v>1708750</v>
      </c>
      <c r="G32" s="109">
        <v>6</v>
      </c>
      <c r="H32" s="387">
        <v>0</v>
      </c>
      <c r="I32" s="43">
        <v>10252500</v>
      </c>
      <c r="J32" s="43">
        <v>10252500</v>
      </c>
      <c r="K32" s="44" t="s">
        <v>18</v>
      </c>
    </row>
    <row r="33" spans="1:11" ht="15">
      <c r="A33" s="513" t="s">
        <v>48</v>
      </c>
      <c r="B33" s="54"/>
      <c r="C33" s="85"/>
      <c r="D33" s="326"/>
      <c r="E33" s="142"/>
      <c r="F33" s="98"/>
      <c r="G33" s="109"/>
      <c r="H33" s="387"/>
      <c r="I33" s="43"/>
      <c r="J33" s="43"/>
      <c r="K33" s="44"/>
    </row>
    <row r="34" spans="1:11" ht="15">
      <c r="A34" s="344" t="s">
        <v>49</v>
      </c>
      <c r="B34" s="54">
        <v>10000</v>
      </c>
      <c r="C34" s="85">
        <v>1367</v>
      </c>
      <c r="D34" s="326">
        <v>683500</v>
      </c>
      <c r="E34" s="142">
        <v>666.6666666666667</v>
      </c>
      <c r="F34" s="98">
        <v>911333.3333333334</v>
      </c>
      <c r="G34" s="109">
        <v>15</v>
      </c>
      <c r="H34" s="387">
        <v>637933.3333333334</v>
      </c>
      <c r="I34" s="43">
        <v>5468000</v>
      </c>
      <c r="J34" s="43">
        <v>3554200</v>
      </c>
      <c r="K34" s="44" t="s">
        <v>18</v>
      </c>
    </row>
    <row r="35" spans="1:11" ht="15">
      <c r="A35" s="342" t="s">
        <v>50</v>
      </c>
      <c r="B35" s="54"/>
      <c r="C35" s="85"/>
      <c r="D35" s="324">
        <v>768937.5</v>
      </c>
      <c r="E35" s="111"/>
      <c r="F35" s="118">
        <v>2620083.3333333335</v>
      </c>
      <c r="G35" s="42"/>
      <c r="H35" s="118">
        <v>637933.3333333334</v>
      </c>
      <c r="I35" s="59">
        <v>15720500</v>
      </c>
      <c r="J35" s="59">
        <v>13806700</v>
      </c>
      <c r="K35" s="44" t="s">
        <v>25</v>
      </c>
    </row>
    <row r="36" spans="1:11" ht="15">
      <c r="A36" s="84" t="s">
        <v>51</v>
      </c>
      <c r="B36" s="49"/>
      <c r="C36" s="88"/>
      <c r="D36" s="319"/>
      <c r="E36" s="145"/>
      <c r="F36" s="113"/>
      <c r="G36" s="50"/>
      <c r="H36" s="50"/>
      <c r="I36" s="51"/>
      <c r="J36" s="51"/>
      <c r="K36" s="52"/>
    </row>
    <row r="37" spans="1:11" ht="15">
      <c r="A37" s="344" t="s">
        <v>52</v>
      </c>
      <c r="B37" s="54">
        <v>6500</v>
      </c>
      <c r="C37" s="85">
        <v>1367</v>
      </c>
      <c r="D37" s="324"/>
      <c r="E37" s="142">
        <v>1083.3333333333335</v>
      </c>
      <c r="F37" s="98">
        <v>1480916.6666666667</v>
      </c>
      <c r="G37" s="109">
        <v>6</v>
      </c>
      <c r="H37" s="387">
        <v>0</v>
      </c>
      <c r="I37" s="43">
        <v>8885500</v>
      </c>
      <c r="J37" s="43">
        <v>8885500</v>
      </c>
      <c r="K37" s="44" t="s">
        <v>18</v>
      </c>
    </row>
    <row r="38" spans="1:11" ht="15">
      <c r="A38" s="56" t="s">
        <v>53</v>
      </c>
      <c r="B38" s="57"/>
      <c r="C38" s="89"/>
      <c r="D38" s="322"/>
      <c r="E38" s="142"/>
      <c r="F38" s="114">
        <v>1480916.6666666667</v>
      </c>
      <c r="G38" s="58"/>
      <c r="H38" s="114">
        <v>0</v>
      </c>
      <c r="I38" s="59">
        <v>8885500</v>
      </c>
      <c r="J38" s="59">
        <v>8885500</v>
      </c>
      <c r="K38" s="60"/>
    </row>
    <row r="39" spans="1:11" ht="15">
      <c r="A39" s="56"/>
      <c r="B39" s="57"/>
      <c r="C39" s="89"/>
      <c r="D39" s="322"/>
      <c r="E39" s="114"/>
      <c r="F39" s="114"/>
      <c r="G39" s="58"/>
      <c r="H39" s="58"/>
      <c r="I39" s="59"/>
      <c r="J39" s="59"/>
      <c r="K39" s="60"/>
    </row>
    <row r="40" spans="1:11" ht="23.25">
      <c r="A40" s="526" t="s">
        <v>54</v>
      </c>
      <c r="B40" s="77"/>
      <c r="C40" s="89"/>
      <c r="D40" s="385">
        <v>15328301.137216667</v>
      </c>
      <c r="E40" s="144"/>
      <c r="F40" s="153">
        <v>43938354.08423865</v>
      </c>
      <c r="G40" s="154"/>
      <c r="H40" s="153">
        <v>4393800.708033333</v>
      </c>
      <c r="I40" s="153">
        <v>263630124.50543195</v>
      </c>
      <c r="J40" s="153">
        <v>250448722.38133195</v>
      </c>
      <c r="K40" s="129"/>
    </row>
    <row r="41" spans="1:11" ht="15.75" thickBot="1">
      <c r="A41" s="56"/>
      <c r="B41" s="57"/>
      <c r="C41" s="89"/>
      <c r="D41" s="322"/>
      <c r="E41" s="114"/>
      <c r="F41" s="114"/>
      <c r="G41" s="58"/>
      <c r="H41" s="58"/>
      <c r="I41" s="59"/>
      <c r="J41" s="59"/>
      <c r="K41" s="60"/>
    </row>
    <row r="42" spans="1:11" ht="24" thickBot="1" thickTop="1">
      <c r="A42" s="525" t="s">
        <v>55</v>
      </c>
      <c r="B42" s="45"/>
      <c r="C42" s="86"/>
      <c r="D42" s="318"/>
      <c r="E42" s="112"/>
      <c r="F42" s="112"/>
      <c r="G42" s="46"/>
      <c r="H42" s="46"/>
      <c r="I42" s="47"/>
      <c r="J42" s="47"/>
      <c r="K42" s="48"/>
    </row>
    <row r="43" spans="1:11" ht="17.25" thickTop="1">
      <c r="A43" s="349" t="s">
        <v>56</v>
      </c>
      <c r="B43" s="65"/>
      <c r="C43" s="90"/>
      <c r="D43" s="325"/>
      <c r="E43" s="117"/>
      <c r="F43" s="117"/>
      <c r="G43" s="66"/>
      <c r="H43" s="66"/>
      <c r="I43" s="67"/>
      <c r="J43" s="67"/>
      <c r="K43" s="68"/>
    </row>
    <row r="44" spans="1:11" ht="15">
      <c r="A44" s="84" t="s">
        <v>15</v>
      </c>
      <c r="B44" s="49"/>
      <c r="C44" s="88"/>
      <c r="D44" s="319"/>
      <c r="E44" s="113"/>
      <c r="F44" s="113"/>
      <c r="G44" s="50"/>
      <c r="H44" s="50"/>
      <c r="I44" s="51"/>
      <c r="J44" s="51"/>
      <c r="K44" s="52"/>
    </row>
    <row r="45" spans="1:11" ht="15">
      <c r="A45" s="344" t="s">
        <v>57</v>
      </c>
      <c r="B45" s="54">
        <v>1283.4582761875</v>
      </c>
      <c r="C45" s="85">
        <v>1760</v>
      </c>
      <c r="D45" s="326">
        <v>135520</v>
      </c>
      <c r="E45" s="142">
        <v>213.90971269791666</v>
      </c>
      <c r="F45" s="98">
        <v>376481.0943483333</v>
      </c>
      <c r="G45" s="109">
        <v>6</v>
      </c>
      <c r="H45" s="387">
        <v>0</v>
      </c>
      <c r="I45" s="43">
        <v>2258886.56609</v>
      </c>
      <c r="J45" s="43">
        <v>2258886.56609</v>
      </c>
      <c r="K45" s="44" t="s">
        <v>18</v>
      </c>
    </row>
    <row r="46" spans="1:11" ht="15">
      <c r="A46" s="344" t="s">
        <v>58</v>
      </c>
      <c r="B46" s="54">
        <v>3035.7954133333333</v>
      </c>
      <c r="C46" s="85">
        <v>176</v>
      </c>
      <c r="D46" s="326">
        <v>23584</v>
      </c>
      <c r="E46" s="142">
        <v>505.9659022222222</v>
      </c>
      <c r="F46" s="98">
        <v>89049.99879111111</v>
      </c>
      <c r="G46" s="109">
        <v>6</v>
      </c>
      <c r="H46" s="387">
        <v>0</v>
      </c>
      <c r="I46" s="43">
        <v>534299.9927466667</v>
      </c>
      <c r="J46" s="43">
        <v>534299.9927466667</v>
      </c>
      <c r="K46" s="44" t="s">
        <v>18</v>
      </c>
    </row>
    <row r="47" spans="1:11" ht="15">
      <c r="A47" s="344" t="s">
        <v>59</v>
      </c>
      <c r="B47" s="54">
        <v>8523</v>
      </c>
      <c r="C47" s="85">
        <v>124</v>
      </c>
      <c r="D47" s="326">
        <v>93000</v>
      </c>
      <c r="E47" s="142">
        <v>1420.5</v>
      </c>
      <c r="F47" s="98">
        <v>176142</v>
      </c>
      <c r="G47" s="109">
        <v>6</v>
      </c>
      <c r="H47" s="387">
        <v>0</v>
      </c>
      <c r="I47" s="43">
        <v>1056852</v>
      </c>
      <c r="J47" s="43">
        <v>1056852</v>
      </c>
      <c r="K47" s="44" t="s">
        <v>18</v>
      </c>
    </row>
    <row r="48" spans="1:11" ht="15">
      <c r="A48" s="344" t="s">
        <v>60</v>
      </c>
      <c r="B48" s="54">
        <v>18900</v>
      </c>
      <c r="C48" s="85">
        <v>52</v>
      </c>
      <c r="D48" s="326">
        <v>140400</v>
      </c>
      <c r="E48" s="142">
        <v>3150</v>
      </c>
      <c r="F48" s="98">
        <v>163800</v>
      </c>
      <c r="G48" s="109">
        <v>6</v>
      </c>
      <c r="H48" s="387">
        <v>0</v>
      </c>
      <c r="I48" s="43">
        <v>982800</v>
      </c>
      <c r="J48" s="43">
        <v>982800</v>
      </c>
      <c r="K48" s="44" t="s">
        <v>18</v>
      </c>
    </row>
    <row r="49" spans="1:11" ht="15">
      <c r="A49" s="344" t="s">
        <v>61</v>
      </c>
      <c r="B49" s="54">
        <v>7960</v>
      </c>
      <c r="C49" s="85">
        <v>176</v>
      </c>
      <c r="D49" s="400">
        <v>35728</v>
      </c>
      <c r="E49" s="142">
        <v>1326.6666666666667</v>
      </c>
      <c r="F49" s="98">
        <v>233493.33333333334</v>
      </c>
      <c r="G49" s="109">
        <v>6</v>
      </c>
      <c r="H49" s="387">
        <v>163445.33333333334</v>
      </c>
      <c r="I49" s="43">
        <v>1400960</v>
      </c>
      <c r="J49" s="43">
        <v>910624</v>
      </c>
      <c r="K49" s="44" t="s">
        <v>18</v>
      </c>
    </row>
    <row r="50" spans="1:11" ht="15">
      <c r="A50" s="343" t="s">
        <v>62</v>
      </c>
      <c r="B50" s="57" t="s">
        <v>25</v>
      </c>
      <c r="C50" s="89"/>
      <c r="D50" s="322">
        <v>428232</v>
      </c>
      <c r="E50" s="142"/>
      <c r="F50" s="114">
        <v>1038966.4264727778</v>
      </c>
      <c r="G50" s="58"/>
      <c r="H50" s="114">
        <v>163445.33333333334</v>
      </c>
      <c r="I50" s="114">
        <v>6233798.558836667</v>
      </c>
      <c r="J50" s="114">
        <v>5743462.558836667</v>
      </c>
      <c r="K50" s="60"/>
    </row>
    <row r="51" spans="1:11" ht="15">
      <c r="A51" s="84" t="s">
        <v>51</v>
      </c>
      <c r="B51" s="49"/>
      <c r="C51" s="88"/>
      <c r="D51" s="319"/>
      <c r="E51" s="145"/>
      <c r="F51" s="113"/>
      <c r="G51" s="50"/>
      <c r="H51" s="50"/>
      <c r="I51" s="51"/>
      <c r="J51" s="51"/>
      <c r="K51" s="52"/>
    </row>
    <row r="52" spans="1:11" ht="15">
      <c r="A52" s="344" t="s">
        <v>63</v>
      </c>
      <c r="B52" s="54">
        <v>2000</v>
      </c>
      <c r="C52" s="85">
        <v>176</v>
      </c>
      <c r="D52" s="324"/>
      <c r="E52" s="142">
        <v>333.3333333333333</v>
      </c>
      <c r="F52" s="98">
        <v>58666.666666666664</v>
      </c>
      <c r="G52" s="109">
        <v>6</v>
      </c>
      <c r="H52" s="387">
        <v>0</v>
      </c>
      <c r="I52" s="43">
        <v>352000</v>
      </c>
      <c r="J52" s="43">
        <v>352000</v>
      </c>
      <c r="K52" s="44" t="s">
        <v>18</v>
      </c>
    </row>
    <row r="53" spans="1:11" ht="15">
      <c r="A53" s="343" t="s">
        <v>64</v>
      </c>
      <c r="B53" s="57"/>
      <c r="C53" s="89"/>
      <c r="D53" s="322"/>
      <c r="E53" s="142"/>
      <c r="F53" s="114">
        <v>58666.666666666664</v>
      </c>
      <c r="G53" s="58"/>
      <c r="H53" s="114">
        <v>0</v>
      </c>
      <c r="I53" s="114">
        <v>352000</v>
      </c>
      <c r="J53" s="114">
        <v>352000</v>
      </c>
      <c r="K53" s="60"/>
    </row>
    <row r="54" spans="1:11" ht="15">
      <c r="A54" s="84" t="s">
        <v>32</v>
      </c>
      <c r="B54" s="52"/>
      <c r="C54" s="88"/>
      <c r="D54" s="319"/>
      <c r="E54" s="145"/>
      <c r="F54" s="113"/>
      <c r="G54" s="50"/>
      <c r="H54" s="50"/>
      <c r="I54" s="51"/>
      <c r="J54" s="51"/>
      <c r="K54" s="52"/>
    </row>
    <row r="55" spans="1:11" ht="15">
      <c r="A55" s="344" t="s">
        <v>65</v>
      </c>
      <c r="B55" s="54">
        <v>60</v>
      </c>
      <c r="C55" s="85">
        <v>1760</v>
      </c>
      <c r="D55" s="326">
        <v>5280</v>
      </c>
      <c r="E55" s="142">
        <v>3</v>
      </c>
      <c r="F55" s="98">
        <v>5280</v>
      </c>
      <c r="G55" s="109">
        <v>20</v>
      </c>
      <c r="H55" s="387">
        <v>0</v>
      </c>
      <c r="I55" s="43">
        <v>31680</v>
      </c>
      <c r="J55" s="43">
        <v>31680</v>
      </c>
      <c r="K55" s="44" t="s">
        <v>34</v>
      </c>
    </row>
    <row r="56" spans="1:11" ht="15">
      <c r="A56" s="344" t="s">
        <v>66</v>
      </c>
      <c r="B56" s="54">
        <v>1943</v>
      </c>
      <c r="C56" s="85">
        <v>176</v>
      </c>
      <c r="D56" s="326">
        <v>17098.4</v>
      </c>
      <c r="E56" s="142">
        <v>97.15</v>
      </c>
      <c r="F56" s="98">
        <v>17098.4</v>
      </c>
      <c r="G56" s="109">
        <v>20</v>
      </c>
      <c r="H56" s="387">
        <v>0</v>
      </c>
      <c r="I56" s="43">
        <v>102590.4</v>
      </c>
      <c r="J56" s="43">
        <v>102590.4</v>
      </c>
      <c r="K56" s="44" t="s">
        <v>34</v>
      </c>
    </row>
    <row r="57" spans="1:11" ht="15">
      <c r="A57" s="344" t="s">
        <v>67</v>
      </c>
      <c r="B57" s="54">
        <v>122</v>
      </c>
      <c r="C57" s="85">
        <v>1760</v>
      </c>
      <c r="D57" s="326">
        <v>10736</v>
      </c>
      <c r="E57" s="142">
        <v>12.2</v>
      </c>
      <c r="F57" s="98">
        <v>21472</v>
      </c>
      <c r="G57" s="109">
        <v>10</v>
      </c>
      <c r="H57" s="387">
        <v>0</v>
      </c>
      <c r="I57" s="43">
        <v>128832</v>
      </c>
      <c r="J57" s="43">
        <v>128832</v>
      </c>
      <c r="K57" s="44" t="s">
        <v>18</v>
      </c>
    </row>
    <row r="58" spans="1:11" ht="15">
      <c r="A58" s="344" t="s">
        <v>68</v>
      </c>
      <c r="B58" s="54">
        <v>3300</v>
      </c>
      <c r="C58" s="85">
        <v>176</v>
      </c>
      <c r="D58" s="326">
        <v>118096</v>
      </c>
      <c r="E58" s="142">
        <v>550</v>
      </c>
      <c r="F58" s="98">
        <v>96800</v>
      </c>
      <c r="G58" s="109">
        <v>6</v>
      </c>
      <c r="H58" s="387">
        <v>67760</v>
      </c>
      <c r="I58" s="43">
        <v>580800</v>
      </c>
      <c r="J58" s="43">
        <v>377520</v>
      </c>
      <c r="K58" s="44" t="s">
        <v>18</v>
      </c>
    </row>
    <row r="59" spans="1:11" ht="15">
      <c r="A59" s="386" t="s">
        <v>69</v>
      </c>
      <c r="B59" s="54"/>
      <c r="C59" s="85"/>
      <c r="D59" s="326"/>
      <c r="E59" s="142"/>
      <c r="F59" s="98"/>
      <c r="G59" s="109"/>
      <c r="H59" s="387"/>
      <c r="I59" s="43"/>
      <c r="J59" s="43"/>
      <c r="K59" s="44"/>
    </row>
    <row r="60" spans="1:11" ht="15">
      <c r="A60" s="344" t="s">
        <v>70</v>
      </c>
      <c r="B60" s="54">
        <v>3300</v>
      </c>
      <c r="C60" s="85">
        <v>55</v>
      </c>
      <c r="D60" s="326">
        <v>9350</v>
      </c>
      <c r="E60" s="142">
        <v>550</v>
      </c>
      <c r="F60" s="98">
        <v>30250</v>
      </c>
      <c r="G60" s="109">
        <v>6</v>
      </c>
      <c r="H60" s="387">
        <v>21175</v>
      </c>
      <c r="I60" s="43">
        <v>181500</v>
      </c>
      <c r="J60" s="43">
        <v>117975</v>
      </c>
      <c r="K60" s="44" t="s">
        <v>18</v>
      </c>
    </row>
    <row r="61" spans="1:11" ht="15">
      <c r="A61" s="344" t="s">
        <v>71</v>
      </c>
      <c r="B61" s="54">
        <v>3300</v>
      </c>
      <c r="C61" s="85">
        <v>376</v>
      </c>
      <c r="D61" s="326">
        <v>0</v>
      </c>
      <c r="E61" s="142">
        <v>550</v>
      </c>
      <c r="F61" s="98">
        <v>206800</v>
      </c>
      <c r="G61" s="109">
        <v>6</v>
      </c>
      <c r="H61" s="387">
        <v>144760</v>
      </c>
      <c r="I61" s="43">
        <v>1240800</v>
      </c>
      <c r="J61" s="43">
        <v>806520</v>
      </c>
      <c r="K61" s="44" t="s">
        <v>18</v>
      </c>
    </row>
    <row r="62" spans="1:11" ht="15">
      <c r="A62" s="344" t="s">
        <v>72</v>
      </c>
      <c r="B62" s="54">
        <v>300</v>
      </c>
      <c r="C62" s="85">
        <v>453</v>
      </c>
      <c r="D62" s="326">
        <v>6795</v>
      </c>
      <c r="E62" s="142">
        <v>0</v>
      </c>
      <c r="F62" s="98">
        <v>13590</v>
      </c>
      <c r="G62" s="109">
        <v>10</v>
      </c>
      <c r="H62" s="387">
        <v>9513</v>
      </c>
      <c r="I62" s="43">
        <v>81540</v>
      </c>
      <c r="J62" s="43">
        <v>53001</v>
      </c>
      <c r="K62" s="44" t="s">
        <v>18</v>
      </c>
    </row>
    <row r="63" spans="1:11" ht="15">
      <c r="A63" s="344" t="s">
        <v>73</v>
      </c>
      <c r="B63" s="54">
        <v>2000</v>
      </c>
      <c r="C63" s="85">
        <v>449.4</v>
      </c>
      <c r="D63" s="326">
        <v>44940</v>
      </c>
      <c r="E63" s="142">
        <v>333.33333333333337</v>
      </c>
      <c r="F63" s="98">
        <v>149800</v>
      </c>
      <c r="G63" s="123">
        <v>6</v>
      </c>
      <c r="H63" s="387">
        <v>104860</v>
      </c>
      <c r="I63" s="43">
        <v>898800</v>
      </c>
      <c r="J63" s="43">
        <v>584220</v>
      </c>
      <c r="K63" s="44" t="s">
        <v>18</v>
      </c>
    </row>
    <row r="64" spans="1:11" ht="15">
      <c r="A64" s="343" t="s">
        <v>74</v>
      </c>
      <c r="B64" s="57"/>
      <c r="C64" s="89"/>
      <c r="D64" s="322">
        <v>212295.4</v>
      </c>
      <c r="E64" s="142"/>
      <c r="F64" s="114">
        <v>541090.4</v>
      </c>
      <c r="G64" s="58" t="s">
        <v>25</v>
      </c>
      <c r="H64" s="114">
        <v>348068</v>
      </c>
      <c r="I64" s="114">
        <v>3246542.4</v>
      </c>
      <c r="J64" s="114">
        <v>2202338.4</v>
      </c>
      <c r="K64" s="60"/>
    </row>
    <row r="65" spans="1:11" ht="15">
      <c r="A65" s="56"/>
      <c r="B65" s="81"/>
      <c r="C65" s="85"/>
      <c r="D65" s="322"/>
      <c r="E65" s="142"/>
      <c r="F65" s="119"/>
      <c r="G65" s="109"/>
      <c r="H65" s="138"/>
      <c r="I65" s="59"/>
      <c r="J65" s="59"/>
      <c r="K65" s="101"/>
    </row>
    <row r="66" spans="1:11" ht="16.5">
      <c r="A66" s="351" t="s">
        <v>75</v>
      </c>
      <c r="B66" s="81"/>
      <c r="C66" s="85"/>
      <c r="D66" s="322"/>
      <c r="E66" s="142"/>
      <c r="F66" s="119">
        <v>1638723.4931394444</v>
      </c>
      <c r="G66" s="109"/>
      <c r="H66" s="119">
        <v>511513.3333333334</v>
      </c>
      <c r="I66" s="119">
        <v>9832340.958836667</v>
      </c>
      <c r="J66" s="119">
        <v>8297800.958836667</v>
      </c>
      <c r="K66" s="101"/>
    </row>
    <row r="67" spans="1:11" ht="15">
      <c r="A67" s="56"/>
      <c r="B67" s="81"/>
      <c r="C67" s="85"/>
      <c r="D67" s="322"/>
      <c r="E67" s="142"/>
      <c r="F67" s="119"/>
      <c r="G67" s="109"/>
      <c r="H67" s="138"/>
      <c r="I67" s="59"/>
      <c r="J67" s="59"/>
      <c r="K67" s="101"/>
    </row>
    <row r="68" spans="1:11" ht="16.5">
      <c r="A68" s="350" t="s">
        <v>76</v>
      </c>
      <c r="B68" s="81"/>
      <c r="C68" s="85"/>
      <c r="D68" s="322"/>
      <c r="E68" s="142"/>
      <c r="F68" s="119"/>
      <c r="G68" s="109"/>
      <c r="H68" s="138"/>
      <c r="I68" s="59"/>
      <c r="J68" s="59"/>
      <c r="K68" s="101"/>
    </row>
    <row r="69" spans="1:11" ht="15">
      <c r="A69" s="334" t="s">
        <v>77</v>
      </c>
      <c r="B69" s="335"/>
      <c r="C69" s="88"/>
      <c r="D69" s="336"/>
      <c r="E69" s="145"/>
      <c r="F69" s="337"/>
      <c r="G69" s="338"/>
      <c r="H69" s="339"/>
      <c r="I69" s="340"/>
      <c r="J69" s="340"/>
      <c r="K69" s="341"/>
    </row>
    <row r="70" spans="1:11" ht="15">
      <c r="A70" s="344" t="s">
        <v>78</v>
      </c>
      <c r="B70" s="81">
        <v>50000</v>
      </c>
      <c r="C70" s="85">
        <v>176</v>
      </c>
      <c r="D70" s="322"/>
      <c r="E70" s="142">
        <v>50000</v>
      </c>
      <c r="F70" s="98">
        <v>8800000</v>
      </c>
      <c r="G70" s="123">
        <v>1</v>
      </c>
      <c r="H70" s="387">
        <v>0</v>
      </c>
      <c r="I70" s="43">
        <v>52800000</v>
      </c>
      <c r="J70" s="43">
        <v>52800000</v>
      </c>
      <c r="K70" s="44" t="s">
        <v>18</v>
      </c>
    </row>
    <row r="71" spans="1:11" ht="15">
      <c r="A71" s="344" t="s">
        <v>79</v>
      </c>
      <c r="B71" s="81">
        <v>3676.88</v>
      </c>
      <c r="C71" s="85">
        <v>1436</v>
      </c>
      <c r="D71" s="322"/>
      <c r="E71" s="142">
        <v>3676.88</v>
      </c>
      <c r="F71" s="98">
        <v>5279999.68</v>
      </c>
      <c r="G71" s="123">
        <v>1</v>
      </c>
      <c r="H71" s="387">
        <v>0</v>
      </c>
      <c r="I71" s="43">
        <v>31679998.08</v>
      </c>
      <c r="J71" s="43">
        <v>31679998.08</v>
      </c>
      <c r="K71" s="44" t="s">
        <v>18</v>
      </c>
    </row>
    <row r="72" spans="1:11" ht="15">
      <c r="A72" s="344" t="s">
        <v>80</v>
      </c>
      <c r="B72" s="81">
        <v>0</v>
      </c>
      <c r="C72" s="85">
        <v>2464</v>
      </c>
      <c r="D72" s="322"/>
      <c r="E72" s="142">
        <v>0</v>
      </c>
      <c r="F72" s="98">
        <v>0</v>
      </c>
      <c r="G72" s="123">
        <v>1</v>
      </c>
      <c r="H72" s="387">
        <v>0</v>
      </c>
      <c r="I72" s="43">
        <v>0</v>
      </c>
      <c r="J72" s="43">
        <v>0</v>
      </c>
      <c r="K72" s="44" t="s">
        <v>18</v>
      </c>
    </row>
    <row r="73" spans="1:11" ht="15">
      <c r="A73" s="344" t="s">
        <v>81</v>
      </c>
      <c r="B73" s="54">
        <v>4582.92</v>
      </c>
      <c r="C73" s="85">
        <v>1038</v>
      </c>
      <c r="D73" s="326"/>
      <c r="E73" s="142">
        <v>4582.92</v>
      </c>
      <c r="F73" s="98">
        <v>4757070.96</v>
      </c>
      <c r="G73" s="123">
        <v>1</v>
      </c>
      <c r="H73" s="387">
        <v>3329949.672</v>
      </c>
      <c r="I73" s="43">
        <v>28542425.759999998</v>
      </c>
      <c r="J73" s="43">
        <v>18552576.744</v>
      </c>
      <c r="K73" s="44" t="s">
        <v>18</v>
      </c>
    </row>
    <row r="74" spans="1:11" ht="15">
      <c r="A74" s="344" t="s">
        <v>82</v>
      </c>
      <c r="B74" s="54">
        <v>360</v>
      </c>
      <c r="C74" s="85">
        <v>4716.75</v>
      </c>
      <c r="D74" s="330"/>
      <c r="E74" s="142">
        <v>360</v>
      </c>
      <c r="F74" s="98">
        <v>1698030</v>
      </c>
      <c r="G74" s="109">
        <v>1</v>
      </c>
      <c r="H74" s="387">
        <v>1188621</v>
      </c>
      <c r="I74" s="43">
        <v>10188180</v>
      </c>
      <c r="J74" s="43">
        <v>6622317</v>
      </c>
      <c r="K74" s="44" t="s">
        <v>83</v>
      </c>
    </row>
    <row r="75" spans="1:11" ht="27">
      <c r="A75" s="346" t="s">
        <v>84</v>
      </c>
      <c r="B75" s="54">
        <v>250</v>
      </c>
      <c r="C75" s="42">
        <v>39804</v>
      </c>
      <c r="D75" s="324"/>
      <c r="E75" s="142">
        <v>250</v>
      </c>
      <c r="F75" s="98">
        <v>9951000</v>
      </c>
      <c r="G75" s="109">
        <v>1</v>
      </c>
      <c r="H75" s="387">
        <v>0</v>
      </c>
      <c r="I75" s="43">
        <v>59706000</v>
      </c>
      <c r="J75" s="43">
        <v>59706000</v>
      </c>
      <c r="K75" s="44" t="s">
        <v>18</v>
      </c>
    </row>
    <row r="76" spans="1:11" ht="15">
      <c r="A76" s="356" t="s">
        <v>85</v>
      </c>
      <c r="B76" s="81"/>
      <c r="C76" s="85"/>
      <c r="D76" s="322"/>
      <c r="E76" s="118">
        <v>58869.8</v>
      </c>
      <c r="F76" s="118">
        <v>30486100.64</v>
      </c>
      <c r="G76" s="109"/>
      <c r="H76" s="118">
        <v>4518570.672</v>
      </c>
      <c r="I76" s="118">
        <v>182916603.84</v>
      </c>
      <c r="J76" s="118">
        <v>169360891.824</v>
      </c>
      <c r="K76" s="101"/>
    </row>
    <row r="77" spans="1:11" ht="15">
      <c r="A77" s="56"/>
      <c r="B77" s="81"/>
      <c r="C77" s="85"/>
      <c r="D77" s="322"/>
      <c r="E77" s="142"/>
      <c r="F77" s="119"/>
      <c r="G77" s="109"/>
      <c r="H77" s="138"/>
      <c r="I77" s="59"/>
      <c r="J77" s="59"/>
      <c r="K77" s="101"/>
    </row>
    <row r="78" spans="1:11" ht="15">
      <c r="A78" s="334" t="s">
        <v>86</v>
      </c>
      <c r="B78" s="335"/>
      <c r="C78" s="88"/>
      <c r="D78" s="336"/>
      <c r="E78" s="145"/>
      <c r="F78" s="337"/>
      <c r="G78" s="338"/>
      <c r="H78" s="339"/>
      <c r="I78" s="340"/>
      <c r="J78" s="340"/>
      <c r="K78" s="341"/>
    </row>
    <row r="79" spans="1:11" ht="15">
      <c r="A79" s="56" t="s">
        <v>87</v>
      </c>
      <c r="B79" s="81"/>
      <c r="C79" s="85"/>
      <c r="D79" s="322"/>
      <c r="E79" s="142"/>
      <c r="F79" s="119"/>
      <c r="G79" s="109"/>
      <c r="H79" s="138"/>
      <c r="I79" s="59"/>
      <c r="J79" s="59"/>
      <c r="K79" s="101"/>
    </row>
    <row r="80" spans="1:11" ht="15">
      <c r="A80" s="347" t="s">
        <v>88</v>
      </c>
      <c r="B80" s="529">
        <v>74.0675</v>
      </c>
      <c r="C80" s="87">
        <v>95042.5</v>
      </c>
      <c r="D80" s="321"/>
      <c r="E80" s="142">
        <v>74.0675</v>
      </c>
      <c r="F80" s="98">
        <v>7039560.368749999</v>
      </c>
      <c r="G80" s="107">
        <v>1</v>
      </c>
      <c r="H80" s="388">
        <v>0</v>
      </c>
      <c r="I80" s="43">
        <v>42237362.2125</v>
      </c>
      <c r="J80" s="43">
        <v>42237362.2125</v>
      </c>
      <c r="K80" s="44" t="s">
        <v>18</v>
      </c>
    </row>
    <row r="81" spans="1:11" ht="15">
      <c r="A81" s="344" t="s">
        <v>89</v>
      </c>
      <c r="B81" s="54">
        <v>8850.08472522052</v>
      </c>
      <c r="C81" s="85">
        <v>1436</v>
      </c>
      <c r="D81" s="331"/>
      <c r="E81" s="142">
        <v>8850.08472522052</v>
      </c>
      <c r="F81" s="98">
        <v>12708721.665416667</v>
      </c>
      <c r="G81" s="128">
        <v>1</v>
      </c>
      <c r="H81" s="390">
        <v>0</v>
      </c>
      <c r="I81" s="43">
        <v>76252329.9925</v>
      </c>
      <c r="J81" s="43">
        <v>76252329.9925</v>
      </c>
      <c r="K81" s="44" t="s">
        <v>18</v>
      </c>
    </row>
    <row r="82" spans="1:11" ht="15">
      <c r="A82" s="344" t="s">
        <v>90</v>
      </c>
      <c r="B82" s="54">
        <v>1883.7165541782729</v>
      </c>
      <c r="C82" s="85">
        <v>1436</v>
      </c>
      <c r="D82" s="331"/>
      <c r="E82" s="142">
        <v>1883.7165541782729</v>
      </c>
      <c r="F82" s="98">
        <v>2705016.9718</v>
      </c>
      <c r="G82" s="128">
        <v>1</v>
      </c>
      <c r="H82" s="387">
        <v>1893511.8802599998</v>
      </c>
      <c r="I82" s="43">
        <v>16230101.8308</v>
      </c>
      <c r="J82" s="43">
        <v>10549566.190020002</v>
      </c>
      <c r="K82" s="44" t="s">
        <v>18</v>
      </c>
    </row>
    <row r="83" spans="1:11" ht="15">
      <c r="A83" s="344" t="s">
        <v>91</v>
      </c>
      <c r="B83" s="54">
        <v>2433.1363636363635</v>
      </c>
      <c r="C83" s="85">
        <v>176</v>
      </c>
      <c r="D83" s="331"/>
      <c r="E83" s="142">
        <v>2433.1363636363635</v>
      </c>
      <c r="F83" s="98">
        <v>428232</v>
      </c>
      <c r="G83" s="128">
        <v>1</v>
      </c>
      <c r="H83" s="390">
        <v>0</v>
      </c>
      <c r="I83" s="43">
        <v>2569392</v>
      </c>
      <c r="J83" s="43">
        <v>2569392</v>
      </c>
      <c r="K83" s="44" t="s">
        <v>18</v>
      </c>
    </row>
    <row r="84" spans="1:11" ht="15">
      <c r="A84" s="344" t="s">
        <v>92</v>
      </c>
      <c r="B84" s="54">
        <v>1206.2238636363636</v>
      </c>
      <c r="C84" s="85">
        <v>176</v>
      </c>
      <c r="D84" s="331"/>
      <c r="E84" s="142">
        <v>1206.2238636363636</v>
      </c>
      <c r="F84" s="98">
        <v>212295.4</v>
      </c>
      <c r="G84" s="128">
        <v>1</v>
      </c>
      <c r="H84" s="387">
        <v>148606.78</v>
      </c>
      <c r="I84" s="43">
        <v>1273772.4</v>
      </c>
      <c r="J84" s="43">
        <v>827952.06</v>
      </c>
      <c r="K84" s="44" t="s">
        <v>18</v>
      </c>
    </row>
    <row r="85" spans="1:11" ht="15">
      <c r="A85" s="343" t="s">
        <v>93</v>
      </c>
      <c r="B85" s="57"/>
      <c r="C85" s="89"/>
      <c r="D85" s="322"/>
      <c r="E85" s="114">
        <v>14447.22900667152</v>
      </c>
      <c r="F85" s="114">
        <v>23093826.405966666</v>
      </c>
      <c r="G85" s="58"/>
      <c r="H85" s="114">
        <v>2042118.6602599998</v>
      </c>
      <c r="I85" s="114">
        <v>138562958.43580002</v>
      </c>
      <c r="J85" s="114">
        <v>132436602.45502001</v>
      </c>
      <c r="K85" s="60"/>
    </row>
    <row r="86" spans="1:11" ht="15">
      <c r="A86" s="235"/>
      <c r="B86" s="98"/>
      <c r="C86" s="87"/>
      <c r="D86" s="321"/>
      <c r="E86" s="142"/>
      <c r="F86" s="98"/>
      <c r="G86" s="107"/>
      <c r="H86" s="107"/>
      <c r="I86" s="43"/>
      <c r="J86" s="43"/>
      <c r="K86" s="44"/>
    </row>
    <row r="87" spans="1:11" ht="15">
      <c r="A87" s="56" t="s">
        <v>94</v>
      </c>
      <c r="B87" s="81"/>
      <c r="C87" s="85"/>
      <c r="D87" s="322"/>
      <c r="E87" s="142"/>
      <c r="F87" s="119"/>
      <c r="G87" s="109"/>
      <c r="H87" s="138"/>
      <c r="I87" s="59"/>
      <c r="J87" s="59"/>
      <c r="K87" s="101"/>
    </row>
    <row r="88" spans="1:11" ht="15">
      <c r="A88" s="345" t="s">
        <v>95</v>
      </c>
      <c r="B88" s="108">
        <v>373.2</v>
      </c>
      <c r="C88" s="87">
        <v>95042.5</v>
      </c>
      <c r="D88" s="321"/>
      <c r="E88" s="142">
        <v>62.2</v>
      </c>
      <c r="F88" s="98">
        <v>5911643.500000001</v>
      </c>
      <c r="G88" s="107">
        <v>6</v>
      </c>
      <c r="H88" s="388">
        <v>0</v>
      </c>
      <c r="I88" s="43">
        <v>35469861.00000001</v>
      </c>
      <c r="J88" s="43">
        <v>35469861.00000001</v>
      </c>
      <c r="K88" s="44" t="s">
        <v>18</v>
      </c>
    </row>
    <row r="89" spans="1:11" ht="15">
      <c r="A89" s="344" t="s">
        <v>96</v>
      </c>
      <c r="B89" s="54">
        <v>35</v>
      </c>
      <c r="C89" s="85">
        <v>188596.5</v>
      </c>
      <c r="D89" s="324"/>
      <c r="E89" s="142">
        <v>5.833333333333333</v>
      </c>
      <c r="F89" s="98">
        <v>1100146.25</v>
      </c>
      <c r="G89" s="109">
        <v>6</v>
      </c>
      <c r="H89" s="387">
        <v>770102.375</v>
      </c>
      <c r="I89" s="43">
        <v>6600877.5</v>
      </c>
      <c r="J89" s="43">
        <v>4290570.375</v>
      </c>
      <c r="K89" s="44" t="s">
        <v>18</v>
      </c>
    </row>
    <row r="90" spans="1:11" ht="15">
      <c r="A90" s="344" t="s">
        <v>97</v>
      </c>
      <c r="B90" s="54">
        <v>536</v>
      </c>
      <c r="C90" s="85">
        <v>1367</v>
      </c>
      <c r="D90" s="324"/>
      <c r="E90" s="142">
        <v>89.33333333333334</v>
      </c>
      <c r="F90" s="98">
        <v>122118.66666666667</v>
      </c>
      <c r="G90" s="109">
        <v>6</v>
      </c>
      <c r="H90" s="387">
        <v>0</v>
      </c>
      <c r="I90" s="43">
        <v>732712</v>
      </c>
      <c r="J90" s="43">
        <v>732712</v>
      </c>
      <c r="K90" s="44" t="s">
        <v>18</v>
      </c>
    </row>
    <row r="91" spans="1:11" ht="15">
      <c r="A91" s="344" t="s">
        <v>98</v>
      </c>
      <c r="B91" s="54">
        <v>600</v>
      </c>
      <c r="C91" s="85">
        <v>39804</v>
      </c>
      <c r="D91" s="324"/>
      <c r="E91" s="142">
        <v>100</v>
      </c>
      <c r="F91" s="98">
        <v>3980400</v>
      </c>
      <c r="G91" s="109">
        <v>6</v>
      </c>
      <c r="H91" s="387">
        <v>0</v>
      </c>
      <c r="I91" s="43">
        <v>23882400</v>
      </c>
      <c r="J91" s="43">
        <v>23882400</v>
      </c>
      <c r="K91" s="44" t="s">
        <v>18</v>
      </c>
    </row>
    <row r="92" spans="1:11" ht="15">
      <c r="A92" s="344" t="s">
        <v>99</v>
      </c>
      <c r="B92" s="54">
        <v>500</v>
      </c>
      <c r="C92" s="85">
        <v>1367</v>
      </c>
      <c r="D92" s="324"/>
      <c r="E92" s="142">
        <v>83.33333333333334</v>
      </c>
      <c r="F92" s="98">
        <v>113916.66666666667</v>
      </c>
      <c r="G92" s="109">
        <v>6</v>
      </c>
      <c r="H92" s="387">
        <v>79741.66666666667</v>
      </c>
      <c r="I92" s="43">
        <v>683500</v>
      </c>
      <c r="J92" s="43">
        <v>444275</v>
      </c>
      <c r="K92" s="44" t="s">
        <v>18</v>
      </c>
    </row>
    <row r="93" spans="1:11" ht="15">
      <c r="A93" s="344" t="s">
        <v>100</v>
      </c>
      <c r="B93" s="54">
        <v>613.2</v>
      </c>
      <c r="C93" s="85">
        <v>1760</v>
      </c>
      <c r="D93" s="324"/>
      <c r="E93" s="142">
        <v>102.2</v>
      </c>
      <c r="F93" s="98">
        <v>179872</v>
      </c>
      <c r="G93" s="109">
        <v>6</v>
      </c>
      <c r="H93" s="387">
        <v>0</v>
      </c>
      <c r="I93" s="43">
        <v>1079232</v>
      </c>
      <c r="J93" s="43">
        <v>1079232</v>
      </c>
      <c r="K93" s="44" t="s">
        <v>18</v>
      </c>
    </row>
    <row r="94" spans="1:11" ht="15">
      <c r="A94" s="348" t="s">
        <v>101</v>
      </c>
      <c r="B94" s="108"/>
      <c r="C94" s="87"/>
      <c r="D94" s="321"/>
      <c r="E94" s="124">
        <v>442.9</v>
      </c>
      <c r="F94" s="124">
        <v>11408097.083333334</v>
      </c>
      <c r="G94" s="107"/>
      <c r="H94" s="124">
        <v>849844.0416666666</v>
      </c>
      <c r="I94" s="124">
        <v>68448582.5</v>
      </c>
      <c r="J94" s="124">
        <v>65899050.37500001</v>
      </c>
      <c r="K94" s="44"/>
    </row>
    <row r="95" spans="1:11" ht="15">
      <c r="A95" s="348"/>
      <c r="B95" s="108"/>
      <c r="C95" s="87"/>
      <c r="D95" s="321"/>
      <c r="E95" s="142"/>
      <c r="F95" s="124"/>
      <c r="G95" s="107"/>
      <c r="H95" s="124"/>
      <c r="I95" s="124"/>
      <c r="J95" s="124"/>
      <c r="K95" s="44"/>
    </row>
    <row r="96" spans="1:11" ht="16.5">
      <c r="A96" s="352" t="s">
        <v>102</v>
      </c>
      <c r="B96" s="108"/>
      <c r="C96" s="87"/>
      <c r="D96" s="321"/>
      <c r="E96" s="142"/>
      <c r="F96" s="124">
        <v>64988024.129300006</v>
      </c>
      <c r="G96" s="107"/>
      <c r="H96" s="124">
        <v>7410533.373926667</v>
      </c>
      <c r="I96" s="124">
        <v>389928144.7758</v>
      </c>
      <c r="J96" s="124">
        <v>367696544.65402</v>
      </c>
      <c r="K96" s="44"/>
    </row>
    <row r="97" spans="1:11" ht="15">
      <c r="A97" s="348"/>
      <c r="B97" s="108"/>
      <c r="C97" s="87"/>
      <c r="D97" s="321"/>
      <c r="E97" s="142"/>
      <c r="F97" s="124"/>
      <c r="G97" s="107"/>
      <c r="H97" s="124"/>
      <c r="I97" s="124"/>
      <c r="J97" s="124"/>
      <c r="K97" s="44"/>
    </row>
    <row r="98" spans="1:11" ht="15">
      <c r="A98" s="234"/>
      <c r="B98" s="108"/>
      <c r="C98" s="87"/>
      <c r="D98" s="321"/>
      <c r="E98" s="142"/>
      <c r="F98" s="98"/>
      <c r="G98" s="107"/>
      <c r="H98" s="184"/>
      <c r="I98" s="43"/>
      <c r="J98" s="43"/>
      <c r="K98" s="44"/>
    </row>
    <row r="99" spans="1:11" ht="23.25">
      <c r="A99" s="526" t="s">
        <v>103</v>
      </c>
      <c r="B99" s="57"/>
      <c r="C99" s="89"/>
      <c r="D99" s="323"/>
      <c r="E99" s="115"/>
      <c r="F99" s="151">
        <v>66626747.62243945</v>
      </c>
      <c r="G99" s="152"/>
      <c r="H99" s="151">
        <v>7922046.70726</v>
      </c>
      <c r="I99" s="151">
        <v>399760485.73463666</v>
      </c>
      <c r="J99" s="151">
        <v>375994345.6128567</v>
      </c>
      <c r="K99" s="60"/>
    </row>
    <row r="100" spans="1:11" ht="20.25">
      <c r="A100" s="127"/>
      <c r="B100" s="57"/>
      <c r="C100" s="89"/>
      <c r="D100" s="323"/>
      <c r="E100" s="115"/>
      <c r="F100" s="151"/>
      <c r="G100" s="152"/>
      <c r="H100" s="151"/>
      <c r="I100" s="151"/>
      <c r="J100" s="151"/>
      <c r="K100" s="60"/>
    </row>
    <row r="101" spans="1:11" ht="23.25">
      <c r="A101" s="240" t="s">
        <v>25</v>
      </c>
      <c r="B101" s="57"/>
      <c r="C101" s="89"/>
      <c r="D101" s="323"/>
      <c r="E101" s="115"/>
      <c r="F101" s="151"/>
      <c r="G101" s="152"/>
      <c r="H101" s="151"/>
      <c r="I101" s="151"/>
      <c r="J101" s="151"/>
      <c r="K101" s="60"/>
    </row>
    <row r="102" spans="1:11" ht="23.25">
      <c r="A102" s="527" t="s">
        <v>104</v>
      </c>
      <c r="B102" s="366"/>
      <c r="C102" s="367"/>
      <c r="D102" s="369"/>
      <c r="E102" s="370"/>
      <c r="F102" s="370"/>
      <c r="G102" s="368"/>
      <c r="H102" s="368"/>
      <c r="I102" s="372"/>
      <c r="J102" s="372"/>
      <c r="K102" s="371"/>
    </row>
    <row r="103" spans="1:11" ht="25.5">
      <c r="A103" s="365"/>
      <c r="B103" s="366"/>
      <c r="C103" s="367"/>
      <c r="D103" s="369"/>
      <c r="E103" s="370"/>
      <c r="F103" s="370"/>
      <c r="G103" s="368"/>
      <c r="H103" s="368"/>
      <c r="I103" s="372"/>
      <c r="J103" s="372"/>
      <c r="K103" s="371"/>
    </row>
    <row r="104" spans="1:11" ht="15">
      <c r="A104" s="357" t="s">
        <v>105</v>
      </c>
      <c r="B104" s="358" t="s">
        <v>25</v>
      </c>
      <c r="C104" s="359"/>
      <c r="D104" s="361"/>
      <c r="E104" s="362"/>
      <c r="F104" s="362"/>
      <c r="G104" s="360"/>
      <c r="H104" s="360"/>
      <c r="I104" s="364"/>
      <c r="J104" s="364"/>
      <c r="K104" s="363"/>
    </row>
    <row r="105" spans="1:11" ht="15">
      <c r="A105" s="353" t="s">
        <v>106</v>
      </c>
      <c r="B105" s="54"/>
      <c r="C105" s="85"/>
      <c r="D105" s="317"/>
      <c r="E105" s="142"/>
      <c r="F105" s="124">
        <v>928214.6666666666</v>
      </c>
      <c r="G105" s="123"/>
      <c r="H105" s="391">
        <v>72749.6</v>
      </c>
      <c r="I105" s="82">
        <v>5569288</v>
      </c>
      <c r="J105" s="43">
        <v>5351039.2</v>
      </c>
      <c r="K105" s="44" t="s">
        <v>107</v>
      </c>
    </row>
    <row r="106" spans="1:11" ht="15">
      <c r="A106" s="344" t="s">
        <v>25</v>
      </c>
      <c r="B106" s="57"/>
      <c r="C106" s="89"/>
      <c r="D106" s="322"/>
      <c r="E106" s="114"/>
      <c r="F106" s="114"/>
      <c r="G106" s="58"/>
      <c r="H106" s="392"/>
      <c r="I106" s="59"/>
      <c r="J106" s="59"/>
      <c r="K106" s="60"/>
    </row>
    <row r="107" spans="1:11" ht="15">
      <c r="A107" s="357" t="s">
        <v>108</v>
      </c>
      <c r="B107" s="358" t="s">
        <v>25</v>
      </c>
      <c r="C107" s="359"/>
      <c r="D107" s="361"/>
      <c r="E107" s="362"/>
      <c r="F107" s="362"/>
      <c r="G107" s="360"/>
      <c r="H107" s="393"/>
      <c r="I107" s="364"/>
      <c r="J107" s="364"/>
      <c r="K107" s="363"/>
    </row>
    <row r="108" spans="1:11" ht="30.75">
      <c r="A108" s="346" t="s">
        <v>109</v>
      </c>
      <c r="B108" s="54"/>
      <c r="C108" s="85"/>
      <c r="D108" s="317"/>
      <c r="E108" s="142"/>
      <c r="F108" s="124">
        <v>2064000</v>
      </c>
      <c r="G108" s="123"/>
      <c r="H108" s="394">
        <v>189000</v>
      </c>
      <c r="I108" s="82">
        <v>12384000</v>
      </c>
      <c r="J108" s="43">
        <v>11817000</v>
      </c>
      <c r="K108" s="44" t="s">
        <v>107</v>
      </c>
    </row>
    <row r="109" spans="1:11" ht="15">
      <c r="A109" s="83" t="s">
        <v>25</v>
      </c>
      <c r="B109" s="78"/>
      <c r="C109" s="90"/>
      <c r="D109" s="325"/>
      <c r="E109" s="117"/>
      <c r="F109" s="117"/>
      <c r="G109" s="66"/>
      <c r="H109" s="395"/>
      <c r="I109" s="59"/>
      <c r="J109" s="59"/>
      <c r="K109" s="68"/>
    </row>
    <row r="110" spans="1:11" ht="15">
      <c r="A110" s="357" t="s">
        <v>110</v>
      </c>
      <c r="B110" s="358" t="s">
        <v>25</v>
      </c>
      <c r="C110" s="359"/>
      <c r="D110" s="373"/>
      <c r="E110" s="374"/>
      <c r="F110" s="374"/>
      <c r="G110" s="358"/>
      <c r="H110" s="396"/>
      <c r="I110" s="358" t="s">
        <v>25</v>
      </c>
      <c r="J110" s="358"/>
      <c r="K110" s="358" t="s">
        <v>25</v>
      </c>
    </row>
    <row r="111" spans="1:11" ht="27.75">
      <c r="A111" s="353" t="s">
        <v>111</v>
      </c>
      <c r="B111" s="54"/>
      <c r="C111" s="85"/>
      <c r="D111" s="317"/>
      <c r="E111" s="142"/>
      <c r="F111" s="124">
        <v>4561615.75</v>
      </c>
      <c r="G111" s="123"/>
      <c r="H111" s="394">
        <v>1922141.0249999994</v>
      </c>
      <c r="I111" s="82">
        <v>27369694.5</v>
      </c>
      <c r="J111" s="43">
        <v>21603271.425</v>
      </c>
      <c r="K111" s="44" t="s">
        <v>107</v>
      </c>
    </row>
    <row r="112" spans="1:11" ht="15">
      <c r="A112" s="242" t="s">
        <v>25</v>
      </c>
      <c r="B112" s="57"/>
      <c r="C112" s="89"/>
      <c r="D112" s="322"/>
      <c r="E112" s="114"/>
      <c r="F112" s="114"/>
      <c r="G112" s="58"/>
      <c r="H112" s="392"/>
      <c r="I112" s="59"/>
      <c r="J112" s="59"/>
      <c r="K112" s="60"/>
    </row>
    <row r="113" spans="1:11" ht="15">
      <c r="A113" s="357" t="s">
        <v>112</v>
      </c>
      <c r="B113" s="363" t="s">
        <v>25</v>
      </c>
      <c r="C113" s="359"/>
      <c r="D113" s="375"/>
      <c r="E113" s="376"/>
      <c r="F113" s="376"/>
      <c r="G113" s="363"/>
      <c r="H113" s="396"/>
      <c r="I113" s="363" t="s">
        <v>25</v>
      </c>
      <c r="J113" s="363"/>
      <c r="K113" s="363" t="s">
        <v>25</v>
      </c>
    </row>
    <row r="114" spans="1:11" ht="15">
      <c r="A114" s="524" t="s">
        <v>113</v>
      </c>
      <c r="B114" s="54"/>
      <c r="C114" s="85"/>
      <c r="D114" s="317"/>
      <c r="E114" s="142"/>
      <c r="F114" s="124">
        <v>400000</v>
      </c>
      <c r="G114" s="123"/>
      <c r="H114" s="394">
        <v>0</v>
      </c>
      <c r="I114" s="82">
        <v>2400000</v>
      </c>
      <c r="J114" s="43">
        <v>2400000</v>
      </c>
      <c r="K114" s="44" t="s">
        <v>107</v>
      </c>
    </row>
    <row r="115" spans="1:11" ht="15">
      <c r="A115" s="56"/>
      <c r="B115" s="54"/>
      <c r="C115" s="85"/>
      <c r="D115" s="317"/>
      <c r="E115" s="111"/>
      <c r="F115" s="118"/>
      <c r="G115" s="42"/>
      <c r="H115" s="389"/>
      <c r="I115" s="59"/>
      <c r="J115" s="59"/>
      <c r="K115" s="44"/>
    </row>
    <row r="116" spans="1:11" ht="15">
      <c r="A116" s="357" t="s">
        <v>114</v>
      </c>
      <c r="B116" s="363" t="s">
        <v>25</v>
      </c>
      <c r="C116" s="359"/>
      <c r="D116" s="375"/>
      <c r="E116" s="376"/>
      <c r="F116" s="376"/>
      <c r="G116" s="363"/>
      <c r="H116" s="396"/>
      <c r="I116" s="363" t="s">
        <v>25</v>
      </c>
      <c r="J116" s="363"/>
      <c r="K116" s="363" t="s">
        <v>25</v>
      </c>
    </row>
    <row r="117" spans="1:11" ht="15">
      <c r="A117" s="514" t="s">
        <v>115</v>
      </c>
      <c r="B117" s="54"/>
      <c r="C117" s="85"/>
      <c r="D117" s="331"/>
      <c r="E117" s="142"/>
      <c r="F117" s="124">
        <v>1114621</v>
      </c>
      <c r="G117" s="128"/>
      <c r="H117" s="390">
        <v>0</v>
      </c>
      <c r="I117" s="82">
        <v>6687726</v>
      </c>
      <c r="J117" s="43">
        <v>6687726</v>
      </c>
      <c r="K117" s="44" t="s">
        <v>107</v>
      </c>
    </row>
    <row r="118" spans="1:11" ht="15">
      <c r="A118" s="56"/>
      <c r="B118" s="57"/>
      <c r="C118" s="89"/>
      <c r="D118" s="322"/>
      <c r="E118" s="114"/>
      <c r="F118" s="114"/>
      <c r="G118" s="58"/>
      <c r="H118" s="392"/>
      <c r="I118" s="114"/>
      <c r="J118" s="114"/>
      <c r="K118" s="60"/>
    </row>
    <row r="119" spans="1:11" ht="15">
      <c r="A119" s="357" t="s">
        <v>116</v>
      </c>
      <c r="B119" s="363"/>
      <c r="C119" s="359"/>
      <c r="D119" s="375"/>
      <c r="E119" s="376"/>
      <c r="F119" s="376"/>
      <c r="G119" s="363"/>
      <c r="H119" s="396"/>
      <c r="I119" s="363"/>
      <c r="J119" s="363"/>
      <c r="K119" s="363"/>
    </row>
    <row r="120" spans="1:11" ht="30.75">
      <c r="A120" s="354" t="s">
        <v>117</v>
      </c>
      <c r="B120" s="102"/>
      <c r="C120" s="90"/>
      <c r="D120" s="332"/>
      <c r="E120" s="142"/>
      <c r="F120" s="124">
        <v>1080000</v>
      </c>
      <c r="G120" s="68"/>
      <c r="H120" s="387">
        <v>0</v>
      </c>
      <c r="I120" s="82">
        <v>6480000</v>
      </c>
      <c r="J120" s="43">
        <v>6480000</v>
      </c>
      <c r="K120" s="68" t="s">
        <v>107</v>
      </c>
    </row>
    <row r="121" spans="1:11" ht="15">
      <c r="A121" s="64"/>
      <c r="B121" s="102"/>
      <c r="C121" s="90"/>
      <c r="D121" s="332"/>
      <c r="E121" s="142"/>
      <c r="F121" s="124"/>
      <c r="G121" s="68"/>
      <c r="H121" s="387"/>
      <c r="I121" s="82"/>
      <c r="J121" s="82"/>
      <c r="K121" s="68"/>
    </row>
    <row r="122" spans="1:11" ht="15">
      <c r="A122" s="357" t="s">
        <v>118</v>
      </c>
      <c r="B122" s="363"/>
      <c r="C122" s="359"/>
      <c r="D122" s="375"/>
      <c r="E122" s="376"/>
      <c r="F122" s="376"/>
      <c r="G122" s="363"/>
      <c r="H122" s="396"/>
      <c r="I122" s="363"/>
      <c r="J122" s="363"/>
      <c r="K122" s="363"/>
    </row>
    <row r="123" spans="1:11" ht="30.75">
      <c r="A123" s="354" t="s">
        <v>119</v>
      </c>
      <c r="B123" s="102"/>
      <c r="C123" s="90"/>
      <c r="D123" s="332"/>
      <c r="E123" s="142"/>
      <c r="F123" s="124">
        <v>272880</v>
      </c>
      <c r="G123" s="68"/>
      <c r="H123" s="387">
        <v>0</v>
      </c>
      <c r="I123" s="82">
        <v>1637280</v>
      </c>
      <c r="J123" s="43">
        <v>1637280</v>
      </c>
      <c r="K123" s="68" t="s">
        <v>107</v>
      </c>
    </row>
    <row r="124" spans="1:11" ht="15">
      <c r="A124" s="64"/>
      <c r="B124" s="78"/>
      <c r="C124" s="90"/>
      <c r="D124" s="325"/>
      <c r="E124" s="117"/>
      <c r="F124" s="117"/>
      <c r="G124" s="66"/>
      <c r="H124" s="395"/>
      <c r="I124" s="79"/>
      <c r="J124" s="79"/>
      <c r="K124" s="68"/>
    </row>
    <row r="125" spans="1:11" ht="15">
      <c r="A125" s="357" t="s">
        <v>120</v>
      </c>
      <c r="B125" s="363"/>
      <c r="C125" s="359"/>
      <c r="D125" s="375"/>
      <c r="E125" s="376"/>
      <c r="F125" s="376"/>
      <c r="G125" s="363"/>
      <c r="H125" s="396"/>
      <c r="I125" s="363"/>
      <c r="J125" s="363"/>
      <c r="K125" s="363"/>
    </row>
    <row r="126" spans="1:11" ht="30.75">
      <c r="A126" s="354" t="s">
        <v>121</v>
      </c>
      <c r="B126" s="102"/>
      <c r="C126" s="90"/>
      <c r="D126" s="332"/>
      <c r="E126" s="142"/>
      <c r="F126" s="124">
        <v>75000</v>
      </c>
      <c r="G126" s="68"/>
      <c r="H126" s="387">
        <v>0</v>
      </c>
      <c r="I126" s="82">
        <v>450000</v>
      </c>
      <c r="J126" s="43">
        <v>450000</v>
      </c>
      <c r="K126" s="68" t="s">
        <v>107</v>
      </c>
    </row>
    <row r="127" spans="1:11" ht="15">
      <c r="A127" s="64"/>
      <c r="B127" s="78"/>
      <c r="C127" s="90"/>
      <c r="D127" s="325"/>
      <c r="E127" s="117"/>
      <c r="F127" s="117"/>
      <c r="G127" s="66"/>
      <c r="H127" s="395"/>
      <c r="I127" s="79"/>
      <c r="J127" s="79"/>
      <c r="K127" s="68"/>
    </row>
    <row r="128" spans="1:11" ht="15">
      <c r="A128" s="357" t="s">
        <v>122</v>
      </c>
      <c r="B128" s="363"/>
      <c r="C128" s="359"/>
      <c r="D128" s="375"/>
      <c r="E128" s="376"/>
      <c r="F128" s="376"/>
      <c r="G128" s="363"/>
      <c r="H128" s="396"/>
      <c r="I128" s="363"/>
      <c r="J128" s="363"/>
      <c r="K128" s="363"/>
    </row>
    <row r="129" spans="1:11" ht="46.5">
      <c r="A129" s="354" t="s">
        <v>123</v>
      </c>
      <c r="B129" s="102"/>
      <c r="C129" s="90"/>
      <c r="D129" s="332"/>
      <c r="E129" s="142"/>
      <c r="F129" s="124">
        <v>1243600</v>
      </c>
      <c r="G129" s="68"/>
      <c r="H129" s="387">
        <v>0</v>
      </c>
      <c r="I129" s="82">
        <v>7461600</v>
      </c>
      <c r="J129" s="43">
        <v>7461600</v>
      </c>
      <c r="K129" s="68" t="s">
        <v>107</v>
      </c>
    </row>
    <row r="130" spans="1:11" ht="15">
      <c r="A130" s="53"/>
      <c r="B130" s="54"/>
      <c r="C130" s="85"/>
      <c r="D130" s="317"/>
      <c r="E130" s="111"/>
      <c r="F130" s="111"/>
      <c r="G130" s="42"/>
      <c r="H130" s="42"/>
      <c r="I130" s="43"/>
      <c r="J130" s="43"/>
      <c r="K130" s="44"/>
    </row>
    <row r="131" spans="1:11" ht="23.25">
      <c r="A131" s="526" t="s">
        <v>124</v>
      </c>
      <c r="B131" s="57"/>
      <c r="C131" s="89"/>
      <c r="D131" s="322"/>
      <c r="E131" s="114"/>
      <c r="F131" s="150">
        <v>11739931.416666666</v>
      </c>
      <c r="G131" s="131"/>
      <c r="H131" s="150">
        <v>2183890.6249999995</v>
      </c>
      <c r="I131" s="150">
        <v>70439588.5</v>
      </c>
      <c r="J131" s="150">
        <v>63887916.625</v>
      </c>
      <c r="K131" s="60" t="s">
        <v>25</v>
      </c>
    </row>
    <row r="132" spans="1:11" ht="20.25">
      <c r="A132" s="100"/>
      <c r="B132" s="57"/>
      <c r="C132" s="89"/>
      <c r="D132" s="322"/>
      <c r="E132" s="114"/>
      <c r="F132" s="150"/>
      <c r="G132" s="131"/>
      <c r="H132" s="150"/>
      <c r="I132" s="150"/>
      <c r="J132" s="150"/>
      <c r="K132" s="60"/>
    </row>
    <row r="133" spans="1:11" ht="15.75" thickBot="1">
      <c r="A133" s="377"/>
      <c r="B133" s="378"/>
      <c r="C133" s="379"/>
      <c r="D133" s="380"/>
      <c r="E133" s="381"/>
      <c r="F133" s="381"/>
      <c r="G133" s="378"/>
      <c r="H133" s="378"/>
      <c r="I133" s="378"/>
      <c r="J133" s="378"/>
      <c r="K133" s="378"/>
    </row>
    <row r="134" spans="1:11" ht="23.25">
      <c r="A134" s="528" t="s">
        <v>125</v>
      </c>
      <c r="B134" s="132"/>
      <c r="C134" s="133"/>
      <c r="D134" s="321"/>
      <c r="E134" s="146"/>
      <c r="F134" s="355">
        <v>122305033.12334476</v>
      </c>
      <c r="G134" s="148"/>
      <c r="H134" s="149">
        <v>14499738.040293332</v>
      </c>
      <c r="I134" s="402">
        <v>733830198.7400687</v>
      </c>
      <c r="J134" s="402">
        <v>690330984.6191887</v>
      </c>
      <c r="K134" s="72"/>
    </row>
    <row r="135" spans="1:11" ht="23.25">
      <c r="A135" s="528" t="s">
        <v>126</v>
      </c>
      <c r="B135" s="61"/>
      <c r="C135" s="139" t="s">
        <v>25</v>
      </c>
      <c r="D135" s="321"/>
      <c r="E135" s="98"/>
      <c r="F135" s="98"/>
      <c r="G135" s="55"/>
      <c r="H135" s="55"/>
      <c r="I135" s="61"/>
      <c r="J135" s="61"/>
      <c r="K135" s="61"/>
    </row>
  </sheetData>
  <sheetProtection/>
  <printOptions/>
  <pageMargins left="1.09" right="0.31" top="1" bottom="0.65" header="0.5" footer="0.5"/>
  <pageSetup fitToHeight="2" horizontalDpi="600" verticalDpi="600" orientation="landscape" scale="55" r:id="rId1"/>
  <headerFooter alignWithMargins="0">
    <oddHeader>&amp;LDraft, &amp;D,&amp;T&amp;C&amp;"MS Sans Serif,Bold"&amp;12Master Plan for Education Technology Budget
2001-2006</oddHeader>
  </headerFooter>
  <rowBreaks count="4" manualBreakCount="4">
    <brk id="40" max="65535" man="1"/>
    <brk id="66" max="65535" man="1"/>
    <brk id="99" max="65535" man="1"/>
    <brk id="135" max="65535" man="1"/>
  </rowBreaks>
</worksheet>
</file>

<file path=xl/worksheets/sheet5.xml><?xml version="1.0" encoding="utf-8"?>
<worksheet xmlns="http://schemas.openxmlformats.org/spreadsheetml/2006/main" xmlns:r="http://schemas.openxmlformats.org/officeDocument/2006/relationships">
  <sheetPr>
    <pageSetUpPr fitToPage="1"/>
  </sheetPr>
  <dimension ref="A1:AW57"/>
  <sheetViews>
    <sheetView zoomScalePageLayoutView="0" workbookViewId="0" topLeftCell="A16">
      <selection activeCell="E29" sqref="E29"/>
    </sheetView>
  </sheetViews>
  <sheetFormatPr defaultColWidth="9.140625" defaultRowHeight="12.75"/>
  <cols>
    <col min="1" max="1" width="52.421875" style="0" customWidth="1"/>
    <col min="2" max="2" width="16.57421875" style="0" customWidth="1"/>
    <col min="3" max="3" width="14.00390625" style="0" customWidth="1"/>
    <col min="4" max="4" width="6.28125" style="0" customWidth="1"/>
    <col min="5" max="5" width="23.421875" style="0" customWidth="1"/>
    <col min="6" max="6" width="15.28125" style="0" customWidth="1"/>
    <col min="7" max="7" width="20.8515625" style="0" customWidth="1"/>
    <col min="8" max="8" width="14.28125" style="0" customWidth="1"/>
    <col min="9" max="9" width="14.8515625" style="0" customWidth="1"/>
  </cols>
  <sheetData>
    <row r="1" spans="1:49" ht="12.75">
      <c r="A1" s="454"/>
      <c r="B1" s="455"/>
      <c r="C1" s="456"/>
      <c r="D1" s="421"/>
      <c r="E1" s="428"/>
      <c r="F1" s="429"/>
      <c r="G1" s="430" t="s">
        <v>143</v>
      </c>
      <c r="H1" s="431" t="s">
        <v>144</v>
      </c>
      <c r="I1" s="432" t="s">
        <v>145</v>
      </c>
      <c r="J1" s="420"/>
      <c r="K1" s="420"/>
      <c r="L1" s="420"/>
      <c r="M1" s="420"/>
      <c r="N1" s="422"/>
      <c r="O1" s="3"/>
      <c r="P1" s="422"/>
      <c r="Q1" s="422"/>
      <c r="R1" s="3"/>
      <c r="S1" s="422"/>
      <c r="T1" s="422"/>
      <c r="U1" s="422"/>
      <c r="V1" s="422"/>
      <c r="W1" s="3"/>
      <c r="X1" s="3"/>
      <c r="Y1" s="409"/>
      <c r="Z1" s="409"/>
      <c r="AA1" s="414"/>
      <c r="AB1" s="414"/>
      <c r="AC1" s="3"/>
      <c r="AD1" s="3"/>
      <c r="AE1" s="3"/>
      <c r="AF1" s="3"/>
      <c r="AG1" s="3"/>
      <c r="AH1" s="3"/>
      <c r="AI1" s="3"/>
      <c r="AJ1" s="3"/>
      <c r="AK1" s="3"/>
      <c r="AL1" s="3"/>
      <c r="AM1" s="3"/>
      <c r="AN1" s="3"/>
      <c r="AO1" s="3"/>
      <c r="AP1" s="3"/>
      <c r="AQ1" s="3"/>
      <c r="AR1" s="3"/>
      <c r="AS1" s="3"/>
      <c r="AT1" s="3"/>
      <c r="AU1" s="3"/>
      <c r="AV1" s="3"/>
      <c r="AW1" s="3"/>
    </row>
    <row r="2" spans="1:49" ht="12.75">
      <c r="A2" s="457"/>
      <c r="B2" s="458" t="s">
        <v>138</v>
      </c>
      <c r="C2" s="459" t="s">
        <v>147</v>
      </c>
      <c r="D2" s="193"/>
      <c r="E2" s="433"/>
      <c r="F2" s="434" t="s">
        <v>138</v>
      </c>
      <c r="G2" s="434" t="s">
        <v>148</v>
      </c>
      <c r="H2" s="434" t="s">
        <v>138</v>
      </c>
      <c r="I2" s="435" t="s">
        <v>149</v>
      </c>
      <c r="J2" s="141"/>
      <c r="K2" s="141"/>
      <c r="L2" s="141"/>
      <c r="M2" s="141"/>
      <c r="N2" s="141"/>
      <c r="O2" s="141"/>
      <c r="P2" s="141"/>
      <c r="Q2" s="423"/>
      <c r="R2" s="4"/>
      <c r="S2" s="4"/>
      <c r="T2" s="4"/>
      <c r="U2" s="4"/>
      <c r="V2" s="4"/>
      <c r="W2" s="4"/>
      <c r="X2" s="4"/>
      <c r="Y2" s="408"/>
      <c r="Z2" s="408"/>
      <c r="AA2" s="4"/>
      <c r="AB2" s="4"/>
      <c r="AC2" s="4"/>
      <c r="AD2" s="4"/>
      <c r="AE2" s="4"/>
      <c r="AF2" s="4"/>
      <c r="AG2" s="4"/>
      <c r="AH2" s="4"/>
      <c r="AI2" s="4"/>
      <c r="AJ2" s="4"/>
      <c r="AK2" s="412"/>
      <c r="AL2" s="4"/>
      <c r="AM2" s="4"/>
      <c r="AN2" s="4"/>
      <c r="AO2" s="4"/>
      <c r="AP2" s="4"/>
      <c r="AQ2" s="4"/>
      <c r="AR2" s="4"/>
      <c r="AS2" s="4"/>
      <c r="AT2" s="4"/>
      <c r="AU2" s="4"/>
      <c r="AV2" s="4"/>
      <c r="AW2" s="4"/>
    </row>
    <row r="3" spans="1:49" ht="12.75">
      <c r="A3" s="460" t="s">
        <v>86</v>
      </c>
      <c r="B3" s="461" t="e">
        <f>'Complete Budget Sheet'!#REF!</f>
        <v>#REF!</v>
      </c>
      <c r="C3" s="462" t="e">
        <f>'Complete Budget Sheet'!#REF!</f>
        <v>#REF!</v>
      </c>
      <c r="D3" s="424"/>
      <c r="E3" s="436" t="s">
        <v>152</v>
      </c>
      <c r="F3" s="437" t="e">
        <f>'Complete Budget Sheet'!#REF!</f>
        <v>#REF!</v>
      </c>
      <c r="G3" s="437" t="e">
        <f>'Complete Budget Sheet'!#REF!</f>
        <v>#REF!</v>
      </c>
      <c r="H3" s="438" t="e">
        <f>F3-G3</f>
        <v>#REF!</v>
      </c>
      <c r="I3" s="441" t="e">
        <f>'Complete Budget Sheet'!#REF!</f>
        <v>#REF!</v>
      </c>
      <c r="J3" s="418"/>
      <c r="K3" s="418"/>
      <c r="L3" s="418"/>
      <c r="M3" s="418"/>
      <c r="N3" s="418"/>
      <c r="O3" s="417"/>
      <c r="P3" s="141"/>
      <c r="Q3" s="423"/>
      <c r="R3" s="4"/>
      <c r="S3" s="425"/>
      <c r="T3" s="425"/>
      <c r="U3" s="425"/>
      <c r="V3" s="425"/>
      <c r="W3" s="425"/>
      <c r="X3" s="4"/>
      <c r="Y3" s="408"/>
      <c r="Z3" s="408"/>
      <c r="AA3" s="4"/>
      <c r="AB3" s="4"/>
      <c r="AC3" s="4"/>
      <c r="AD3" s="4"/>
      <c r="AE3" s="4"/>
      <c r="AF3" s="4"/>
      <c r="AG3" s="403"/>
      <c r="AH3" s="4"/>
      <c r="AI3" s="4"/>
      <c r="AJ3" s="4"/>
      <c r="AK3" s="4"/>
      <c r="AL3" s="4"/>
      <c r="AM3" s="4"/>
      <c r="AN3" s="4"/>
      <c r="AO3" s="4"/>
      <c r="AP3" s="4"/>
      <c r="AQ3" s="4"/>
      <c r="AR3" s="4"/>
      <c r="AS3" s="4"/>
      <c r="AT3" s="4"/>
      <c r="AU3" s="4"/>
      <c r="AV3" s="4"/>
      <c r="AW3" s="4"/>
    </row>
    <row r="4" spans="1:49" ht="12.75">
      <c r="A4" s="463" t="s">
        <v>141</v>
      </c>
      <c r="B4" s="461" t="e">
        <f>'Complete Budget Sheet'!#REF!</f>
        <v>#REF!</v>
      </c>
      <c r="C4" s="462" t="e">
        <f>'Complete Budget Sheet'!#REF!</f>
        <v>#REF!</v>
      </c>
      <c r="D4" s="416"/>
      <c r="E4" s="439" t="s">
        <v>128</v>
      </c>
      <c r="F4" s="437" t="e">
        <f>'Complete Budget Sheet'!#REF!</f>
        <v>#REF!</v>
      </c>
      <c r="G4" s="437" t="e">
        <f>'Complete Budget Sheet'!#REF!</f>
        <v>#REF!</v>
      </c>
      <c r="H4" s="438" t="e">
        <f aca="true" t="shared" si="0" ref="H4:H9">F4-G4</f>
        <v>#REF!</v>
      </c>
      <c r="I4" s="441" t="e">
        <f>'Complete Budget Sheet'!#REF!</f>
        <v>#REF!</v>
      </c>
      <c r="J4" s="10"/>
      <c r="K4" s="10"/>
      <c r="L4" s="10"/>
      <c r="M4" s="10"/>
      <c r="N4" s="10"/>
      <c r="O4" s="10"/>
      <c r="P4" s="10"/>
      <c r="Q4" s="10"/>
      <c r="R4" s="4"/>
      <c r="S4" s="4"/>
      <c r="T4" s="407"/>
      <c r="U4" s="407"/>
      <c r="V4" s="407"/>
      <c r="W4" s="407"/>
      <c r="X4" s="407"/>
      <c r="Y4" s="408"/>
      <c r="Z4" s="408"/>
      <c r="AA4" s="405"/>
      <c r="AB4" s="405"/>
      <c r="AC4" s="407"/>
      <c r="AD4" s="404"/>
      <c r="AE4" s="404"/>
      <c r="AF4" s="404"/>
      <c r="AG4" s="407"/>
      <c r="AH4" s="4"/>
      <c r="AI4" s="404"/>
      <c r="AJ4" s="404"/>
      <c r="AK4" s="404"/>
      <c r="AL4" s="404"/>
      <c r="AM4" s="404"/>
      <c r="AN4" s="404"/>
      <c r="AO4" s="404"/>
      <c r="AP4" s="404"/>
      <c r="AQ4" s="404"/>
      <c r="AR4" s="404"/>
      <c r="AS4" s="404"/>
      <c r="AT4" s="404"/>
      <c r="AU4" s="404"/>
      <c r="AV4" s="404"/>
      <c r="AW4" s="4"/>
    </row>
    <row r="5" spans="1:49" ht="12.75">
      <c r="A5" s="463" t="s">
        <v>142</v>
      </c>
      <c r="B5" s="461" t="e">
        <f>'Complete Budget Sheet'!#REF!</f>
        <v>#REF!</v>
      </c>
      <c r="C5" s="462" t="e">
        <f>'Complete Budget Sheet'!#REF!</f>
        <v>#REF!</v>
      </c>
      <c r="D5" s="419"/>
      <c r="E5" s="440" t="s">
        <v>154</v>
      </c>
      <c r="F5" s="437" t="e">
        <f>'Complete Budget Sheet'!#REF!</f>
        <v>#REF!</v>
      </c>
      <c r="G5" s="437" t="s">
        <v>25</v>
      </c>
      <c r="H5" s="438" t="s">
        <v>25</v>
      </c>
      <c r="I5" s="441" t="e">
        <f>'Complete Budget Sheet'!#REF!</f>
        <v>#REF!</v>
      </c>
      <c r="J5" s="10"/>
      <c r="K5" s="10"/>
      <c r="L5" s="10"/>
      <c r="M5" s="10"/>
      <c r="N5" s="10"/>
      <c r="O5" s="10"/>
      <c r="P5" s="10"/>
      <c r="Q5" s="10"/>
      <c r="R5" s="10"/>
      <c r="S5" s="413"/>
      <c r="T5" s="415"/>
      <c r="U5" s="407"/>
      <c r="V5" s="407"/>
      <c r="W5" s="407"/>
      <c r="X5" s="140"/>
      <c r="Y5" s="140"/>
      <c r="Z5" s="140"/>
      <c r="AA5" s="4"/>
      <c r="AB5" s="406"/>
      <c r="AC5" s="140"/>
      <c r="AD5" s="4"/>
      <c r="AE5" s="4"/>
      <c r="AF5" s="406"/>
      <c r="AG5" s="140"/>
      <c r="AH5" s="4"/>
      <c r="AI5" s="4"/>
      <c r="AJ5" s="4"/>
      <c r="AK5" s="406"/>
      <c r="AL5" s="4"/>
      <c r="AM5" s="4"/>
      <c r="AN5" s="4"/>
      <c r="AO5" s="4"/>
      <c r="AP5" s="4"/>
      <c r="AQ5" s="4"/>
      <c r="AR5" s="410"/>
      <c r="AS5" s="410"/>
      <c r="AT5" s="4"/>
      <c r="AU5" s="411"/>
      <c r="AV5" s="410"/>
      <c r="AW5" s="4"/>
    </row>
    <row r="6" spans="1:49" ht="12.75">
      <c r="A6" s="464" t="s">
        <v>146</v>
      </c>
      <c r="B6" s="461" t="e">
        <f>'Complete Budget Sheet'!#REF!</f>
        <v>#REF!</v>
      </c>
      <c r="C6" s="462" t="e">
        <f>'Complete Budget Sheet'!#REF!</f>
        <v>#REF!</v>
      </c>
      <c r="D6" s="135"/>
      <c r="E6" s="442" t="s">
        <v>129</v>
      </c>
      <c r="F6" s="437" t="e">
        <f>'Complete Budget Sheet'!#REF!</f>
        <v>#REF!</v>
      </c>
      <c r="G6" s="437" t="e">
        <f>'Complete Budget Sheet'!#REF!</f>
        <v>#REF!</v>
      </c>
      <c r="H6" s="438" t="e">
        <f t="shared" si="0"/>
        <v>#REF!</v>
      </c>
      <c r="I6" s="441" t="e">
        <f>'Complete Budget Sheet'!#REF!</f>
        <v>#REF!</v>
      </c>
      <c r="J6" s="10"/>
      <c r="K6" s="10"/>
      <c r="L6" s="10"/>
      <c r="M6" s="10"/>
      <c r="N6" s="10"/>
      <c r="O6" s="10"/>
      <c r="P6" s="10"/>
      <c r="Q6" s="10"/>
      <c r="R6" s="10"/>
      <c r="S6" s="413"/>
      <c r="T6" s="10"/>
      <c r="U6" s="140"/>
      <c r="V6" s="140"/>
      <c r="W6" s="140"/>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 r="A7" s="465" t="s">
        <v>151</v>
      </c>
      <c r="B7" s="461" t="e">
        <f>'Complete Budget Sheet'!#REF!</f>
        <v>#REF!</v>
      </c>
      <c r="C7" s="462" t="e">
        <f>'Complete Budget Sheet'!#REF!</f>
        <v>#REF!</v>
      </c>
      <c r="D7" s="135"/>
      <c r="E7" s="442" t="s">
        <v>157</v>
      </c>
      <c r="F7" s="437" t="e">
        <f>'Complete Budget Sheet'!#REF!</f>
        <v>#REF!</v>
      </c>
      <c r="G7" s="437" t="s">
        <v>25</v>
      </c>
      <c r="H7" s="438" t="s">
        <v>25</v>
      </c>
      <c r="I7" s="441" t="e">
        <f>'Complete Budget Sheet'!#REF!</f>
        <v>#REF!</v>
      </c>
      <c r="J7" s="10"/>
      <c r="K7" s="10"/>
      <c r="L7" s="10"/>
      <c r="M7" s="10"/>
      <c r="N7" s="4"/>
      <c r="O7" s="4"/>
      <c r="P7" s="4"/>
      <c r="Q7" s="4"/>
      <c r="R7" s="10"/>
      <c r="S7" s="4"/>
      <c r="T7" s="10"/>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ht="12.75">
      <c r="A8" s="466"/>
      <c r="B8" s="461"/>
      <c r="C8" s="462" t="s">
        <v>25</v>
      </c>
      <c r="D8" s="135"/>
      <c r="E8" s="443" t="s">
        <v>130</v>
      </c>
      <c r="F8" s="437" t="e">
        <f>'Complete Budget Sheet'!#REF!</f>
        <v>#REF!</v>
      </c>
      <c r="G8" s="437" t="e">
        <f>'Complete Budget Sheet'!#REF!</f>
        <v>#REF!</v>
      </c>
      <c r="H8" s="438" t="e">
        <f t="shared" si="0"/>
        <v>#REF!</v>
      </c>
      <c r="I8" s="441" t="e">
        <f>'Complete Budget Sheet'!#REF!</f>
        <v>#REF!</v>
      </c>
      <c r="J8" s="10"/>
      <c r="K8" s="10"/>
      <c r="L8" s="10"/>
      <c r="M8" s="4"/>
      <c r="N8" s="4"/>
      <c r="O8" s="4"/>
      <c r="P8" s="4"/>
      <c r="Q8" s="4"/>
      <c r="R8" s="4"/>
      <c r="S8" s="4"/>
      <c r="T8" s="4"/>
      <c r="U8" s="4"/>
      <c r="V8" s="4"/>
      <c r="W8" s="4"/>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ht="15">
      <c r="A9" s="465" t="s">
        <v>153</v>
      </c>
      <c r="B9" s="461" t="e">
        <f>'Complete Budget Sheet'!#REF!</f>
        <v>#REF!</v>
      </c>
      <c r="C9" s="462" t="e">
        <f>'Complete Budget Sheet'!#REF!</f>
        <v>#REF!</v>
      </c>
      <c r="D9" s="135"/>
      <c r="E9" s="444"/>
      <c r="F9" s="437" t="e">
        <f>'Complete Budget Sheet'!#REF!</f>
        <v>#REF!</v>
      </c>
      <c r="G9" s="437" t="e">
        <f>'Complete Budget Sheet'!#REF!</f>
        <v>#REF!</v>
      </c>
      <c r="H9" s="438" t="e">
        <f t="shared" si="0"/>
        <v>#REF!</v>
      </c>
      <c r="I9" s="441" t="e">
        <f>'Complete Budget Sheet'!#REF!</f>
        <v>#REF!</v>
      </c>
      <c r="J9" s="59"/>
      <c r="K9" s="59"/>
      <c r="L9" s="59"/>
      <c r="M9" s="37"/>
      <c r="N9" s="37"/>
      <c r="O9" s="36"/>
      <c r="P9" s="36"/>
      <c r="Q9" s="36"/>
      <c r="R9" s="4"/>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9" ht="15">
      <c r="A10" s="465" t="s">
        <v>155</v>
      </c>
      <c r="B10" s="461" t="e">
        <f>'Complete Budget Sheet'!#REF!</f>
        <v>#REF!</v>
      </c>
      <c r="C10" s="462" t="e">
        <f>'Complete Budget Sheet'!#REF!</f>
        <v>#REF!</v>
      </c>
      <c r="D10" s="10"/>
      <c r="E10" s="445"/>
      <c r="F10" s="16"/>
      <c r="G10" s="16"/>
      <c r="H10" s="16"/>
      <c r="I10" s="522"/>
    </row>
    <row r="11" spans="1:9" ht="15">
      <c r="A11" s="465" t="s">
        <v>156</v>
      </c>
      <c r="B11" s="461" t="e">
        <f>'Complete Budget Sheet'!#REF!</f>
        <v>#REF!</v>
      </c>
      <c r="C11" s="462" t="e">
        <f>'Complete Budget Sheet'!#REF!</f>
        <v>#REF!</v>
      </c>
      <c r="D11" s="10"/>
      <c r="E11" s="445"/>
      <c r="F11" s="446" t="s">
        <v>166</v>
      </c>
      <c r="G11" s="446"/>
      <c r="H11" s="16"/>
      <c r="I11" s="522"/>
    </row>
    <row r="12" spans="1:9" ht="15">
      <c r="A12" s="465" t="s">
        <v>158</v>
      </c>
      <c r="B12" s="461" t="e">
        <f>'Complete Budget Sheet'!#REF!</f>
        <v>#REF!</v>
      </c>
      <c r="C12" s="462" t="e">
        <f>'Complete Budget Sheet'!#REF!</f>
        <v>#REF!</v>
      </c>
      <c r="D12" s="10"/>
      <c r="E12" s="445"/>
      <c r="F12" s="447" t="s">
        <v>167</v>
      </c>
      <c r="G12" s="186" t="e">
        <f>'Complete Budget Sheet'!#REF!</f>
        <v>#REF!</v>
      </c>
      <c r="H12" s="16"/>
      <c r="I12" s="522"/>
    </row>
    <row r="13" spans="1:9" ht="12.75">
      <c r="A13" s="465" t="s">
        <v>155</v>
      </c>
      <c r="B13" s="461" t="e">
        <f>'Complete Budget Sheet'!#REF!</f>
        <v>#REF!</v>
      </c>
      <c r="C13" s="462" t="e">
        <f>'Complete Budget Sheet'!#REF!</f>
        <v>#REF!</v>
      </c>
      <c r="D13" s="10"/>
      <c r="E13" s="445"/>
      <c r="F13" s="447" t="s">
        <v>169</v>
      </c>
      <c r="G13" s="186" t="e">
        <f>'Complete Budget Sheet'!#REF!</f>
        <v>#REF!</v>
      </c>
      <c r="H13" s="16"/>
      <c r="I13" s="480"/>
    </row>
    <row r="14" spans="1:9" ht="12.75">
      <c r="A14" s="464" t="s">
        <v>159</v>
      </c>
      <c r="B14" s="461" t="e">
        <f>'Complete Budget Sheet'!#REF!</f>
        <v>#REF!</v>
      </c>
      <c r="C14" s="462" t="e">
        <f>'Complete Budget Sheet'!#REF!</f>
        <v>#REF!</v>
      </c>
      <c r="D14" s="10"/>
      <c r="E14" s="445"/>
      <c r="F14" s="447" t="s">
        <v>170</v>
      </c>
      <c r="G14" s="186" t="e">
        <f>'Complete Budget Sheet'!#REF!</f>
        <v>#REF!</v>
      </c>
      <c r="H14" s="13"/>
      <c r="I14" s="480"/>
    </row>
    <row r="15" spans="1:9" ht="12.75">
      <c r="A15" s="468"/>
      <c r="B15" s="467"/>
      <c r="C15" s="462" t="s">
        <v>25</v>
      </c>
      <c r="D15" s="10"/>
      <c r="E15" s="445"/>
      <c r="F15" s="448" t="s">
        <v>151</v>
      </c>
      <c r="G15" s="449" t="e">
        <f>'Complete Budget Sheet'!#REF!</f>
        <v>#REF!</v>
      </c>
      <c r="H15" s="13"/>
      <c r="I15" s="480"/>
    </row>
    <row r="16" spans="1:9" ht="12.75">
      <c r="A16" s="464" t="s">
        <v>160</v>
      </c>
      <c r="B16" s="467" t="e">
        <f>'Complete Budget Sheet'!#REF!</f>
        <v>#REF!</v>
      </c>
      <c r="C16" s="462" t="e">
        <f>'Complete Budget Sheet'!#REF!</f>
        <v>#REF!</v>
      </c>
      <c r="D16" s="10"/>
      <c r="E16" s="445"/>
      <c r="F16" s="449"/>
      <c r="G16" s="16"/>
      <c r="H16" s="13"/>
      <c r="I16" s="480"/>
    </row>
    <row r="17" spans="1:9" ht="12.75">
      <c r="A17" s="464" t="s">
        <v>161</v>
      </c>
      <c r="B17" s="516" t="e">
        <f>'Complete Budget Sheet'!#REF!</f>
        <v>#REF!</v>
      </c>
      <c r="C17" s="462" t="s">
        <v>25</v>
      </c>
      <c r="D17" s="10"/>
      <c r="E17" s="445" t="s">
        <v>191</v>
      </c>
      <c r="F17" s="449"/>
      <c r="G17" s="13"/>
      <c r="H17" s="13"/>
      <c r="I17" s="480"/>
    </row>
    <row r="18" spans="1:9" ht="12.75">
      <c r="A18" s="468"/>
      <c r="B18" s="467"/>
      <c r="C18" s="462" t="s">
        <v>25</v>
      </c>
      <c r="D18" s="4"/>
      <c r="E18" s="450"/>
      <c r="F18" s="449"/>
      <c r="G18" s="16"/>
      <c r="H18" s="13"/>
      <c r="I18" s="480"/>
    </row>
    <row r="19" spans="1:9" ht="12.75">
      <c r="A19" s="464" t="s">
        <v>162</v>
      </c>
      <c r="B19" s="467" t="e">
        <f>'Complete Budget Sheet'!#REF!</f>
        <v>#REF!</v>
      </c>
      <c r="C19" s="462" t="e">
        <f>'Complete Budget Sheet'!#REF!</f>
        <v>#REF!</v>
      </c>
      <c r="D19" s="4"/>
      <c r="E19" s="451"/>
      <c r="F19" s="452"/>
      <c r="G19" s="453" t="s">
        <v>25</v>
      </c>
      <c r="H19" s="453"/>
      <c r="I19" s="523"/>
    </row>
    <row r="20" spans="1:9" ht="12.75">
      <c r="A20" s="464" t="s">
        <v>163</v>
      </c>
      <c r="B20" s="467" t="e">
        <f>'Complete Budget Sheet'!#REF!</f>
        <v>#REF!</v>
      </c>
      <c r="C20" s="462" t="e">
        <f>'Complete Budget Sheet'!#REF!</f>
        <v>#REF!</v>
      </c>
      <c r="D20" s="407"/>
      <c r="E20" s="407"/>
      <c r="F20" s="140"/>
      <c r="G20" s="4" t="s">
        <v>25</v>
      </c>
      <c r="H20" s="4"/>
      <c r="I20" s="36"/>
    </row>
    <row r="21" spans="1:9" ht="12.75">
      <c r="A21" s="464" t="s">
        <v>164</v>
      </c>
      <c r="B21" s="467" t="e">
        <f>'Complete Budget Sheet'!#REF!</f>
        <v>#REF!</v>
      </c>
      <c r="C21" s="462" t="e">
        <f>'Complete Budget Sheet'!#REF!</f>
        <v>#REF!</v>
      </c>
      <c r="D21" s="407"/>
      <c r="E21" s="407"/>
      <c r="F21" s="140"/>
      <c r="G21" s="4"/>
      <c r="H21" s="4"/>
      <c r="I21" s="36"/>
    </row>
    <row r="22" spans="1:9" ht="12.75">
      <c r="A22" s="464" t="s">
        <v>165</v>
      </c>
      <c r="B22" s="467" t="e">
        <f>'Complete Budget Sheet'!#REF!</f>
        <v>#REF!</v>
      </c>
      <c r="C22" s="462" t="e">
        <f>'Complete Budget Sheet'!#REF!</f>
        <v>#REF!</v>
      </c>
      <c r="D22" s="407"/>
      <c r="E22" s="407"/>
      <c r="F22" s="140"/>
      <c r="G22" s="4"/>
      <c r="H22" s="4"/>
      <c r="I22" s="36"/>
    </row>
    <row r="23" spans="1:9" ht="12.75">
      <c r="A23" s="468"/>
      <c r="B23" s="467" t="e">
        <f>'Complete Budget Sheet'!#REF!</f>
        <v>#REF!</v>
      </c>
      <c r="C23" s="462" t="e">
        <f>'Complete Budget Sheet'!#REF!</f>
        <v>#REF!</v>
      </c>
      <c r="D23" s="407"/>
      <c r="E23" s="407"/>
      <c r="F23" s="4"/>
      <c r="G23" s="4"/>
      <c r="H23" s="4"/>
      <c r="I23" s="36"/>
    </row>
    <row r="24" spans="1:9" ht="12.75">
      <c r="A24" s="469"/>
      <c r="B24" s="470"/>
      <c r="C24" s="471"/>
      <c r="D24" s="407"/>
      <c r="E24" s="407"/>
      <c r="F24" s="4"/>
      <c r="G24" s="4"/>
      <c r="H24" s="4"/>
      <c r="I24" s="36"/>
    </row>
    <row r="25" spans="1:9" ht="12.75">
      <c r="A25" s="3"/>
      <c r="B25" s="427"/>
      <c r="C25" s="426"/>
      <c r="D25" s="407"/>
      <c r="E25" s="140"/>
      <c r="F25" s="4"/>
      <c r="G25" s="4"/>
      <c r="H25" s="4"/>
      <c r="I25" s="36"/>
    </row>
    <row r="26" spans="1:9" ht="12.75">
      <c r="A26" s="472" t="s">
        <v>168</v>
      </c>
      <c r="B26" s="473"/>
      <c r="C26" s="473"/>
      <c r="D26" s="473"/>
      <c r="E26" s="474"/>
      <c r="F26" s="4"/>
      <c r="G26" s="4"/>
      <c r="H26" s="4"/>
      <c r="I26" s="36"/>
    </row>
    <row r="27" spans="1:9" ht="12.75">
      <c r="A27" s="475" t="s">
        <v>192</v>
      </c>
      <c r="B27" s="476"/>
      <c r="C27" s="476"/>
      <c r="D27" s="476"/>
      <c r="E27" s="477"/>
      <c r="F27" s="4"/>
      <c r="G27" s="4"/>
      <c r="H27" s="4"/>
      <c r="I27" s="36"/>
    </row>
    <row r="28" spans="1:9" ht="12.75">
      <c r="A28" s="478"/>
      <c r="B28" s="476"/>
      <c r="C28" s="476"/>
      <c r="D28" s="476"/>
      <c r="E28" s="479"/>
      <c r="F28" s="4"/>
      <c r="G28" s="4"/>
      <c r="H28" s="4"/>
      <c r="I28" s="36"/>
    </row>
    <row r="29" spans="1:9" ht="12.75">
      <c r="A29" s="464" t="s">
        <v>171</v>
      </c>
      <c r="B29" s="13" t="e">
        <f>'Complete Budget Sheet'!#REF!</f>
        <v>#REF!</v>
      </c>
      <c r="C29" s="13"/>
      <c r="D29" s="447" t="s">
        <v>173</v>
      </c>
      <c r="E29" s="480">
        <f>'Complete Budget Sheet'!O195</f>
        <v>0</v>
      </c>
      <c r="F29" s="4"/>
      <c r="G29" s="4"/>
      <c r="H29" s="4"/>
      <c r="I29" s="36"/>
    </row>
    <row r="30" spans="1:9" ht="12.75">
      <c r="A30" s="464" t="s">
        <v>172</v>
      </c>
      <c r="B30" s="13" t="e">
        <f>'Complete Budget Sheet'!#REF!</f>
        <v>#REF!</v>
      </c>
      <c r="C30" s="13"/>
      <c r="D30" s="447" t="s">
        <v>174</v>
      </c>
      <c r="E30" s="480">
        <f>'Complete Budget Sheet'!O196</f>
        <v>0</v>
      </c>
      <c r="F30" s="4"/>
      <c r="G30" s="4"/>
      <c r="H30" s="4"/>
      <c r="I30" s="36"/>
    </row>
    <row r="31" spans="1:9" ht="12.75">
      <c r="A31" s="468"/>
      <c r="B31" s="13"/>
      <c r="C31" s="13"/>
      <c r="D31" s="448" t="s">
        <v>175</v>
      </c>
      <c r="E31" s="480">
        <f>'Complete Budget Sheet'!O197</f>
        <v>0</v>
      </c>
      <c r="F31" s="4"/>
      <c r="G31" s="4"/>
      <c r="H31" s="4"/>
      <c r="I31" s="36"/>
    </row>
    <row r="32" spans="1:9" ht="12.75">
      <c r="A32" s="468"/>
      <c r="B32" s="13"/>
      <c r="C32" s="13"/>
      <c r="D32" s="481" t="s">
        <v>176</v>
      </c>
      <c r="E32" s="480">
        <f>'Complete Budget Sheet'!O198</f>
        <v>0</v>
      </c>
      <c r="F32" s="4"/>
      <c r="G32" s="4"/>
      <c r="H32" s="36"/>
      <c r="I32" s="36"/>
    </row>
    <row r="33" spans="1:9" ht="12.75">
      <c r="A33" s="468"/>
      <c r="B33" s="13"/>
      <c r="C33" s="13"/>
      <c r="D33" s="481" t="s">
        <v>177</v>
      </c>
      <c r="E33" s="480">
        <f>'Complete Budget Sheet'!O199</f>
        <v>0</v>
      </c>
      <c r="F33" s="4"/>
      <c r="G33" s="4"/>
      <c r="H33" s="36"/>
      <c r="I33" s="36"/>
    </row>
    <row r="34" spans="1:9" ht="12.75">
      <c r="A34" s="468"/>
      <c r="B34" s="13"/>
      <c r="C34" s="13"/>
      <c r="D34" s="481" t="s">
        <v>178</v>
      </c>
      <c r="E34" s="480">
        <f>'Complete Budget Sheet'!O200</f>
        <v>0</v>
      </c>
      <c r="F34" s="4"/>
      <c r="G34" s="4"/>
      <c r="H34" s="36"/>
      <c r="I34" s="36"/>
    </row>
    <row r="35" spans="1:9" ht="12.75">
      <c r="A35" s="468"/>
      <c r="B35" s="13"/>
      <c r="C35" s="482"/>
      <c r="D35" s="448" t="s">
        <v>179</v>
      </c>
      <c r="E35" s="479">
        <f>'Complete Budget Sheet'!O201</f>
        <v>0</v>
      </c>
      <c r="F35" s="4"/>
      <c r="G35" s="4"/>
      <c r="H35" s="36"/>
      <c r="I35" s="36"/>
    </row>
    <row r="36" spans="1:9" ht="12.75">
      <c r="A36" s="468"/>
      <c r="B36" s="13"/>
      <c r="C36" s="13"/>
      <c r="D36" s="13"/>
      <c r="E36" s="480"/>
      <c r="F36" s="4"/>
      <c r="G36" s="4"/>
      <c r="H36" s="36"/>
      <c r="I36" s="36"/>
    </row>
    <row r="37" spans="1:9" ht="12.75">
      <c r="A37" s="468"/>
      <c r="B37" s="13"/>
      <c r="C37" s="13"/>
      <c r="D37" s="481" t="s">
        <v>180</v>
      </c>
      <c r="E37" s="480">
        <f>'Complete Budget Sheet'!O203</f>
        <v>0</v>
      </c>
      <c r="F37" s="4"/>
      <c r="G37" s="4"/>
      <c r="H37" s="36"/>
      <c r="I37" s="36"/>
    </row>
    <row r="38" spans="1:9" ht="12.75">
      <c r="A38" s="468"/>
      <c r="B38" s="13"/>
      <c r="C38" s="13"/>
      <c r="D38" s="481"/>
      <c r="E38" s="480"/>
      <c r="F38" s="4"/>
      <c r="G38" s="4"/>
      <c r="H38" s="36"/>
      <c r="I38" s="36"/>
    </row>
    <row r="39" spans="1:9" ht="12.75">
      <c r="A39" s="468"/>
      <c r="B39" s="483"/>
      <c r="C39" s="13"/>
      <c r="D39" s="481" t="s">
        <v>181</v>
      </c>
      <c r="E39" s="518">
        <f>'Complete Budget Sheet'!O205</f>
        <v>0</v>
      </c>
      <c r="F39" s="4"/>
      <c r="G39" s="4"/>
      <c r="H39" s="36"/>
      <c r="I39" s="36"/>
    </row>
    <row r="40" spans="1:9" ht="12.75">
      <c r="A40" s="468"/>
      <c r="B40" s="13"/>
      <c r="C40" s="13"/>
      <c r="D40" s="481" t="s">
        <v>182</v>
      </c>
      <c r="E40" s="517">
        <f>'Complete Budget Sheet'!O206</f>
        <v>0</v>
      </c>
      <c r="F40" s="4"/>
      <c r="G40" s="4"/>
      <c r="H40" s="36"/>
      <c r="I40" s="36"/>
    </row>
    <row r="41" spans="1:9" ht="12.75">
      <c r="A41" s="468"/>
      <c r="B41" s="13"/>
      <c r="C41" s="13"/>
      <c r="D41" s="481" t="s">
        <v>183</v>
      </c>
      <c r="E41" s="517">
        <f>'Complete Budget Sheet'!O207</f>
        <v>0</v>
      </c>
      <c r="F41" s="4"/>
      <c r="G41" s="4"/>
      <c r="H41" s="36"/>
      <c r="I41" s="36"/>
    </row>
    <row r="42" spans="1:9" ht="12.75">
      <c r="A42" s="469"/>
      <c r="B42" s="453"/>
      <c r="C42" s="453"/>
      <c r="D42" s="484" t="s">
        <v>184</v>
      </c>
      <c r="E42" s="517">
        <f>'Complete Budget Sheet'!O208</f>
        <v>0</v>
      </c>
      <c r="F42" s="4"/>
      <c r="G42" s="4"/>
      <c r="H42" s="36"/>
      <c r="I42" s="36"/>
    </row>
    <row r="43" spans="1:9" ht="12.75">
      <c r="A43" s="3"/>
      <c r="B43" s="4"/>
      <c r="C43" s="4"/>
      <c r="D43" s="404"/>
      <c r="E43" s="4"/>
      <c r="F43" s="4"/>
      <c r="G43" s="4"/>
      <c r="H43" s="36"/>
      <c r="I43" s="36"/>
    </row>
    <row r="44" spans="1:9" ht="12.75">
      <c r="A44" s="485"/>
      <c r="B44" s="486"/>
      <c r="C44" s="486"/>
      <c r="D44" s="487" t="s">
        <v>185</v>
      </c>
      <c r="E44" s="488">
        <f>'Complete Budget Sheet'!O210</f>
        <v>0</v>
      </c>
      <c r="F44" s="4"/>
      <c r="G44" s="4"/>
      <c r="H44" s="36"/>
      <c r="I44" s="36"/>
    </row>
    <row r="45" spans="1:9" ht="12.75">
      <c r="A45" s="468"/>
      <c r="B45" s="13"/>
      <c r="C45" s="13"/>
      <c r="D45" s="481" t="s">
        <v>186</v>
      </c>
      <c r="E45" s="488">
        <f>'Complete Budget Sheet'!O211</f>
        <v>0</v>
      </c>
      <c r="F45" s="4"/>
      <c r="G45" s="4"/>
      <c r="H45" s="36"/>
      <c r="I45" s="36"/>
    </row>
    <row r="46" spans="1:9" ht="12.75">
      <c r="A46" s="468"/>
      <c r="B46" s="13"/>
      <c r="C46" s="13"/>
      <c r="D46" s="481" t="s">
        <v>187</v>
      </c>
      <c r="E46" s="519">
        <f>'Complete Budget Sheet'!O212</f>
        <v>0</v>
      </c>
      <c r="F46" s="4"/>
      <c r="G46" s="4"/>
      <c r="H46" s="36"/>
      <c r="I46" s="36"/>
    </row>
    <row r="47" spans="1:9" ht="12.75">
      <c r="A47" s="468"/>
      <c r="B47" s="13"/>
      <c r="C47" s="13"/>
      <c r="D47" s="481"/>
      <c r="E47" s="519" t="s">
        <v>25</v>
      </c>
      <c r="F47" s="4"/>
      <c r="G47" s="4"/>
      <c r="H47" s="36"/>
      <c r="I47" s="36"/>
    </row>
    <row r="48" spans="1:9" ht="12.75">
      <c r="A48" s="468"/>
      <c r="B48" s="13"/>
      <c r="C48" s="13"/>
      <c r="D48" s="481" t="s">
        <v>188</v>
      </c>
      <c r="E48" s="520">
        <f>'Complete Budget Sheet'!O214</f>
        <v>0</v>
      </c>
      <c r="F48" s="4"/>
      <c r="G48" s="4"/>
      <c r="H48" s="36"/>
      <c r="I48" s="36"/>
    </row>
    <row r="49" spans="1:9" ht="12.75">
      <c r="A49" s="468"/>
      <c r="B49" s="13"/>
      <c r="C49" s="13"/>
      <c r="D49" s="481" t="s">
        <v>189</v>
      </c>
      <c r="E49" s="520">
        <f>'Complete Budget Sheet'!O215</f>
        <v>0</v>
      </c>
      <c r="F49" s="4"/>
      <c r="G49" s="4"/>
      <c r="H49" s="36"/>
      <c r="I49" s="36"/>
    </row>
    <row r="50" spans="1:9" ht="12.75">
      <c r="A50" s="469"/>
      <c r="B50" s="453"/>
      <c r="C50" s="453"/>
      <c r="D50" s="484" t="s">
        <v>190</v>
      </c>
      <c r="E50" s="521">
        <f>'Complete Budget Sheet'!O216</f>
        <v>0</v>
      </c>
      <c r="G50" s="4"/>
      <c r="H50" s="36"/>
      <c r="I50" s="36"/>
    </row>
    <row r="51" spans="1:9" ht="12.75">
      <c r="A51" s="3"/>
      <c r="B51" s="4"/>
      <c r="C51" s="4"/>
      <c r="D51" s="4"/>
      <c r="E51" s="4"/>
      <c r="G51" s="4"/>
      <c r="H51" s="36"/>
      <c r="I51" s="36"/>
    </row>
    <row r="52" spans="7:9" ht="12.75">
      <c r="G52" s="4"/>
      <c r="H52" s="36"/>
      <c r="I52" s="36"/>
    </row>
    <row r="53" spans="7:9" ht="12.75">
      <c r="G53" s="4"/>
      <c r="H53" s="36"/>
      <c r="I53" s="36"/>
    </row>
    <row r="54" spans="7:9" ht="12.75">
      <c r="G54" s="4"/>
      <c r="H54" s="36"/>
      <c r="I54" s="36"/>
    </row>
    <row r="55" spans="7:9" ht="12.75">
      <c r="G55" s="4"/>
      <c r="H55" s="36"/>
      <c r="I55" s="36"/>
    </row>
    <row r="56" spans="8:9" ht="12.75">
      <c r="H56" s="36"/>
      <c r="I56" s="36"/>
    </row>
    <row r="57" spans="8:9" ht="12.75">
      <c r="H57" s="36"/>
      <c r="I57" s="36"/>
    </row>
  </sheetData>
  <sheetProtection/>
  <printOptions/>
  <pageMargins left="0.75" right="0.75" top="1" bottom="1" header="0.5" footer="0.5"/>
  <pageSetup fitToHeight="0" fitToWidth="1" horizontalDpi="600" verticalDpi="600" orientation="landscape" scale="69" r:id="rId1"/>
</worksheet>
</file>

<file path=xl/worksheets/sheet6.xml><?xml version="1.0" encoding="utf-8"?>
<worksheet xmlns="http://schemas.openxmlformats.org/spreadsheetml/2006/main" xmlns:r="http://schemas.openxmlformats.org/officeDocument/2006/relationships">
  <dimension ref="A1:Q191"/>
  <sheetViews>
    <sheetView zoomScalePageLayoutView="0" workbookViewId="0" topLeftCell="A172">
      <selection activeCell="A1" sqref="A1"/>
    </sheetView>
  </sheetViews>
  <sheetFormatPr defaultColWidth="9.140625" defaultRowHeight="12.75"/>
  <cols>
    <col min="1" max="1" width="51.00390625" style="14" customWidth="1"/>
    <col min="2" max="2" width="14.140625" style="4" customWidth="1"/>
    <col min="3" max="3" width="14.8515625" style="5" customWidth="1"/>
    <col min="4" max="4" width="8.140625" style="5" customWidth="1"/>
    <col min="5" max="5" width="8.7109375" style="5" customWidth="1"/>
    <col min="6" max="6" width="7.00390625" style="5" customWidth="1"/>
    <col min="7" max="7" width="7.8515625" style="5" customWidth="1"/>
    <col min="8" max="8" width="7.421875" style="5" customWidth="1"/>
    <col min="9" max="9" width="7.8515625" style="5" customWidth="1"/>
    <col min="10" max="10" width="7.421875" style="5" customWidth="1"/>
    <col min="11" max="11" width="8.57421875" style="5" customWidth="1"/>
    <col min="12" max="12" width="7.421875" style="5" customWidth="1"/>
    <col min="13" max="13" width="7.8515625" style="5" customWidth="1"/>
    <col min="14" max="17" width="10.7109375" style="5" customWidth="1"/>
    <col min="18" max="16384" width="9.140625" style="19" customWidth="1"/>
  </cols>
  <sheetData>
    <row r="1" spans="1:16" ht="12.75">
      <c r="A1" s="489" t="s">
        <v>193</v>
      </c>
      <c r="B1" s="490"/>
      <c r="C1" s="491"/>
      <c r="D1" s="491"/>
      <c r="E1" s="491"/>
      <c r="F1" s="491"/>
      <c r="G1" s="491"/>
      <c r="H1" s="491"/>
      <c r="I1" s="491"/>
      <c r="J1" s="503"/>
      <c r="K1" s="503"/>
      <c r="L1" s="503"/>
      <c r="M1" s="503"/>
      <c r="N1" s="503"/>
      <c r="O1" s="503"/>
      <c r="P1" s="503"/>
    </row>
    <row r="2" spans="1:16" ht="12.75">
      <c r="A2" s="492" t="s">
        <v>153</v>
      </c>
      <c r="B2" s="490"/>
      <c r="C2" s="491"/>
      <c r="D2" s="491"/>
      <c r="E2" s="491"/>
      <c r="F2" s="491"/>
      <c r="G2" s="491"/>
      <c r="H2" s="491"/>
      <c r="I2" s="491"/>
      <c r="J2" s="503"/>
      <c r="K2" s="503"/>
      <c r="L2" s="503"/>
      <c r="M2" s="503"/>
      <c r="N2" s="503"/>
      <c r="O2" s="503"/>
      <c r="P2" s="503"/>
    </row>
    <row r="3" spans="1:16" s="105" customFormat="1" ht="12.75">
      <c r="A3" s="493"/>
      <c r="B3" s="494"/>
      <c r="C3" s="495"/>
      <c r="D3" s="495" t="s">
        <v>194</v>
      </c>
      <c r="E3" s="495"/>
      <c r="F3" s="495" t="s">
        <v>195</v>
      </c>
      <c r="G3" s="495"/>
      <c r="H3" s="495" t="s">
        <v>196</v>
      </c>
      <c r="I3" s="495"/>
      <c r="J3" s="495" t="s">
        <v>197</v>
      </c>
      <c r="K3" s="495"/>
      <c r="L3" s="495" t="s">
        <v>198</v>
      </c>
      <c r="M3" s="495"/>
      <c r="N3" s="504"/>
      <c r="O3" s="504"/>
      <c r="P3" s="505"/>
    </row>
    <row r="4" spans="1:16" s="105" customFormat="1" ht="12.75">
      <c r="A4" s="493"/>
      <c r="B4" s="494"/>
      <c r="C4" s="495"/>
      <c r="D4" s="496" t="s">
        <v>199</v>
      </c>
      <c r="E4" s="496" t="s">
        <v>200</v>
      </c>
      <c r="F4" s="496" t="s">
        <v>199</v>
      </c>
      <c r="G4" s="496" t="s">
        <v>200</v>
      </c>
      <c r="H4" s="496" t="s">
        <v>199</v>
      </c>
      <c r="I4" s="496" t="s">
        <v>200</v>
      </c>
      <c r="J4" s="496" t="s">
        <v>199</v>
      </c>
      <c r="K4" s="496" t="s">
        <v>200</v>
      </c>
      <c r="L4" s="496" t="s">
        <v>199</v>
      </c>
      <c r="M4" s="496" t="s">
        <v>200</v>
      </c>
      <c r="N4" s="506"/>
      <c r="O4" s="506"/>
      <c r="P4" s="505"/>
    </row>
    <row r="5" spans="1:16" s="105" customFormat="1" ht="12.75">
      <c r="A5" s="493"/>
      <c r="B5" s="494"/>
      <c r="C5" s="495" t="s">
        <v>201</v>
      </c>
      <c r="D5" s="494">
        <v>980</v>
      </c>
      <c r="E5" s="494">
        <v>1995</v>
      </c>
      <c r="F5" s="494">
        <v>1000</v>
      </c>
      <c r="G5" s="494">
        <v>1995</v>
      </c>
      <c r="H5" s="494">
        <v>1000</v>
      </c>
      <c r="I5" s="494">
        <v>1995</v>
      </c>
      <c r="J5" s="494">
        <v>960</v>
      </c>
      <c r="K5" s="494">
        <v>1995</v>
      </c>
      <c r="L5" s="494">
        <v>1000</v>
      </c>
      <c r="M5" s="494">
        <v>1995</v>
      </c>
      <c r="N5" s="507"/>
      <c r="O5" s="507"/>
      <c r="P5" s="505"/>
    </row>
    <row r="6" spans="1:16" s="105" customFormat="1" ht="12.75">
      <c r="A6" s="493" t="s">
        <v>202</v>
      </c>
      <c r="B6" s="494">
        <f>(0.815*((D8+H8+J8+L8)/4)+0.185*F8)</f>
        <v>1141.5608124999999</v>
      </c>
      <c r="C6" s="495" t="s">
        <v>203</v>
      </c>
      <c r="D6" s="494">
        <f>948+199+30</f>
        <v>1177</v>
      </c>
      <c r="E6" s="494">
        <f>2895+30</f>
        <v>2925</v>
      </c>
      <c r="F6" s="494">
        <f>1439+449+60</f>
        <v>1948</v>
      </c>
      <c r="G6" s="494">
        <f>3199+60</f>
        <v>3259</v>
      </c>
      <c r="H6" s="494">
        <f>1105+177+42</f>
        <v>1324</v>
      </c>
      <c r="I6" s="494">
        <f>2380+11</f>
        <v>2391</v>
      </c>
      <c r="J6" s="494">
        <f>1100+189+40+0</f>
        <v>1329</v>
      </c>
      <c r="K6" s="494">
        <f>2350+40+0</f>
        <v>2390</v>
      </c>
      <c r="L6" s="494">
        <f>1199+177+49</f>
        <v>1425</v>
      </c>
      <c r="M6" s="494">
        <f>2700+49</f>
        <v>2749</v>
      </c>
      <c r="N6" s="507"/>
      <c r="O6" s="507"/>
      <c r="P6" s="505"/>
    </row>
    <row r="7" spans="1:16" s="105" customFormat="1" ht="12.75">
      <c r="A7" s="493"/>
      <c r="B7" s="494"/>
      <c r="C7" s="495" t="s">
        <v>204</v>
      </c>
      <c r="D7" s="494">
        <f>1195+199+30</f>
        <v>1424</v>
      </c>
      <c r="E7" s="494"/>
      <c r="F7" s="494">
        <f>2249+449+60</f>
        <v>2758</v>
      </c>
      <c r="G7" s="494"/>
      <c r="H7" s="494">
        <f>1320+177+44</f>
        <v>1541</v>
      </c>
      <c r="I7" s="494"/>
      <c r="J7" s="494">
        <f>1399+189+40+0</f>
        <v>1628</v>
      </c>
      <c r="K7" s="494"/>
      <c r="L7" s="494">
        <f>1349+177+49</f>
        <v>1575</v>
      </c>
      <c r="M7" s="494"/>
      <c r="N7" s="507"/>
      <c r="O7" s="507"/>
      <c r="P7" s="505"/>
    </row>
    <row r="8" spans="1:16" s="105" customFormat="1" ht="12.75">
      <c r="A8" s="493"/>
      <c r="B8" s="494"/>
      <c r="C8" s="495" t="s">
        <v>205</v>
      </c>
      <c r="D8" s="494">
        <f>(0.62*D5)+(0.25*D6)+(0.13*D7)</f>
        <v>1086.97</v>
      </c>
      <c r="E8" s="494">
        <f>(0.72*E5)+(0.28*E6)</f>
        <v>2255.4</v>
      </c>
      <c r="F8" s="494">
        <f>(0.88*F5)+(0.075*F6)+(0.045*F7)</f>
        <v>1150.2099999999998</v>
      </c>
      <c r="G8" s="494">
        <f>(0.75*G5)+(0.25*G6)</f>
        <v>2311</v>
      </c>
      <c r="H8" s="494">
        <f>(0.62*H5)+(0.25*H6)+(0.13*H7)</f>
        <v>1151.33</v>
      </c>
      <c r="I8" s="494">
        <f>(0.72*I5)+(0.28*I6)</f>
        <v>2105.88</v>
      </c>
      <c r="J8" s="494">
        <f>(0.62*J5)+(0.25*J6)+(0.13*J7)</f>
        <v>1139.0900000000001</v>
      </c>
      <c r="K8" s="494">
        <f>(0.72*K5)+(0.28*K6)</f>
        <v>2105.6</v>
      </c>
      <c r="L8" s="494">
        <f>(0.62*L5)+(0.25*L6)+(0.13*L7)</f>
        <v>1181</v>
      </c>
      <c r="M8" s="494">
        <f>(0.72*M5)+(0.28*M6)</f>
        <v>2206.12</v>
      </c>
      <c r="N8" s="507"/>
      <c r="O8" s="507"/>
      <c r="P8" s="505"/>
    </row>
    <row r="9" spans="1:16" ht="12.75">
      <c r="A9" s="497" t="s">
        <v>206</v>
      </c>
      <c r="B9" s="490">
        <f>B6</f>
        <v>1141.5608124999999</v>
      </c>
      <c r="C9" s="491"/>
      <c r="D9" s="491"/>
      <c r="E9" s="491"/>
      <c r="F9" s="491"/>
      <c r="G9" s="491"/>
      <c r="H9" s="491"/>
      <c r="I9" s="491"/>
      <c r="J9" s="503"/>
      <c r="K9" s="503"/>
      <c r="L9" s="503"/>
      <c r="M9" s="503"/>
      <c r="N9" s="503"/>
      <c r="O9" s="503"/>
      <c r="P9" s="503"/>
    </row>
    <row r="10" spans="1:16" ht="12.75">
      <c r="A10" s="497" t="s">
        <v>207</v>
      </c>
      <c r="B10" s="490">
        <v>300</v>
      </c>
      <c r="C10" s="491"/>
      <c r="D10" s="491"/>
      <c r="E10" s="491"/>
      <c r="F10" s="491"/>
      <c r="G10" s="491"/>
      <c r="H10" s="491"/>
      <c r="I10" s="491"/>
      <c r="J10" s="503"/>
      <c r="K10" s="503"/>
      <c r="L10" s="503"/>
      <c r="M10" s="503"/>
      <c r="N10" s="503"/>
      <c r="O10" s="503"/>
      <c r="P10" s="503"/>
    </row>
    <row r="11" spans="1:16" ht="12.75">
      <c r="A11" s="497" t="s">
        <v>208</v>
      </c>
      <c r="B11" s="490">
        <v>0</v>
      </c>
      <c r="C11" s="491"/>
      <c r="D11" s="491"/>
      <c r="E11" s="491"/>
      <c r="F11" s="491"/>
      <c r="G11" s="491"/>
      <c r="H11" s="491"/>
      <c r="I11" s="491"/>
      <c r="J11" s="503"/>
      <c r="K11" s="503"/>
      <c r="L11" s="503"/>
      <c r="M11" s="503"/>
      <c r="N11" s="503"/>
      <c r="O11" s="503"/>
      <c r="P11" s="503"/>
    </row>
    <row r="12" spans="1:16" ht="12.75">
      <c r="A12" s="497" t="s">
        <v>19</v>
      </c>
      <c r="B12" s="490">
        <v>0</v>
      </c>
      <c r="C12" s="491"/>
      <c r="D12" s="491"/>
      <c r="E12" s="491"/>
      <c r="F12" s="491"/>
      <c r="G12" s="491"/>
      <c r="H12" s="491"/>
      <c r="I12" s="491"/>
      <c r="J12" s="503"/>
      <c r="K12" s="503"/>
      <c r="L12" s="503"/>
      <c r="M12" s="503"/>
      <c r="N12" s="503"/>
      <c r="O12" s="503"/>
      <c r="P12" s="503"/>
    </row>
    <row r="13" spans="1:16" ht="12.75">
      <c r="A13" s="492" t="s">
        <v>51</v>
      </c>
      <c r="B13" s="490"/>
      <c r="C13" s="491"/>
      <c r="D13" s="491"/>
      <c r="E13" s="491"/>
      <c r="F13" s="491"/>
      <c r="G13" s="491"/>
      <c r="H13" s="491"/>
      <c r="I13" s="491"/>
      <c r="J13" s="503"/>
      <c r="K13" s="503"/>
      <c r="L13" s="503"/>
      <c r="M13" s="503"/>
      <c r="N13" s="503"/>
      <c r="O13" s="503"/>
      <c r="P13" s="503"/>
    </row>
    <row r="14" spans="1:16" ht="12.75">
      <c r="A14" s="497" t="s">
        <v>209</v>
      </c>
      <c r="B14" s="490">
        <v>65</v>
      </c>
      <c r="C14" s="491"/>
      <c r="D14" s="491"/>
      <c r="E14" s="491"/>
      <c r="F14" s="491"/>
      <c r="G14" s="491"/>
      <c r="H14" s="491"/>
      <c r="I14" s="491"/>
      <c r="J14" s="503"/>
      <c r="K14" s="503"/>
      <c r="L14" s="503"/>
      <c r="M14" s="503"/>
      <c r="N14" s="503"/>
      <c r="O14" s="503"/>
      <c r="P14" s="503"/>
    </row>
    <row r="15" spans="1:16" ht="12.75">
      <c r="A15" s="492" t="s">
        <v>210</v>
      </c>
      <c r="B15" s="490"/>
      <c r="C15" s="491"/>
      <c r="D15" s="491"/>
      <c r="E15" s="491"/>
      <c r="F15" s="491"/>
      <c r="G15" s="491"/>
      <c r="H15" s="491"/>
      <c r="I15" s="491"/>
      <c r="J15" s="503"/>
      <c r="K15" s="503"/>
      <c r="L15" s="503"/>
      <c r="M15" s="503"/>
      <c r="N15" s="503"/>
      <c r="O15" s="503"/>
      <c r="P15" s="503"/>
    </row>
    <row r="16" spans="1:17" s="22" customFormat="1" ht="13.5" customHeight="1">
      <c r="A16" s="492"/>
      <c r="B16" s="498"/>
      <c r="C16" s="499"/>
      <c r="D16" s="499" t="s">
        <v>194</v>
      </c>
      <c r="E16" s="499"/>
      <c r="F16" s="499" t="s">
        <v>195</v>
      </c>
      <c r="G16" s="499"/>
      <c r="H16" s="499" t="s">
        <v>211</v>
      </c>
      <c r="I16" s="499"/>
      <c r="J16" s="508" t="s">
        <v>212</v>
      </c>
      <c r="K16" s="508"/>
      <c r="L16" s="508" t="s">
        <v>213</v>
      </c>
      <c r="M16" s="508"/>
      <c r="N16" s="508" t="s">
        <v>198</v>
      </c>
      <c r="O16" s="508"/>
      <c r="P16" s="508" t="s">
        <v>214</v>
      </c>
      <c r="Q16" s="20"/>
    </row>
    <row r="17" spans="1:17" s="22" customFormat="1" ht="13.5" customHeight="1">
      <c r="A17" s="492"/>
      <c r="B17" s="498"/>
      <c r="C17" s="499"/>
      <c r="D17" s="499" t="s">
        <v>199</v>
      </c>
      <c r="E17" s="499" t="s">
        <v>200</v>
      </c>
      <c r="F17" s="499" t="s">
        <v>199</v>
      </c>
      <c r="G17" s="499" t="s">
        <v>200</v>
      </c>
      <c r="H17" s="499" t="s">
        <v>199</v>
      </c>
      <c r="I17" s="499" t="s">
        <v>200</v>
      </c>
      <c r="J17" s="508" t="s">
        <v>199</v>
      </c>
      <c r="K17" s="508" t="s">
        <v>200</v>
      </c>
      <c r="L17" s="508" t="s">
        <v>199</v>
      </c>
      <c r="M17" s="508" t="s">
        <v>200</v>
      </c>
      <c r="N17" s="508" t="s">
        <v>199</v>
      </c>
      <c r="O17" s="508" t="s">
        <v>200</v>
      </c>
      <c r="P17" s="508" t="s">
        <v>199</v>
      </c>
      <c r="Q17" s="20" t="s">
        <v>200</v>
      </c>
    </row>
    <row r="18" spans="1:17" s="22" customFormat="1" ht="13.5" customHeight="1">
      <c r="A18" s="492"/>
      <c r="B18" s="498"/>
      <c r="C18" s="499" t="s">
        <v>215</v>
      </c>
      <c r="D18" s="498">
        <v>114</v>
      </c>
      <c r="E18" s="498">
        <v>182</v>
      </c>
      <c r="F18" s="498">
        <v>215.3</v>
      </c>
      <c r="G18" s="498">
        <v>372.8</v>
      </c>
      <c r="H18" s="498">
        <v>85</v>
      </c>
      <c r="I18" s="498">
        <v>294</v>
      </c>
      <c r="J18" s="509">
        <v>85.42</v>
      </c>
      <c r="K18" s="509">
        <v>245.83</v>
      </c>
      <c r="L18" s="509">
        <v>100</v>
      </c>
      <c r="M18" s="509">
        <v>135</v>
      </c>
      <c r="N18" s="509">
        <v>116</v>
      </c>
      <c r="O18" s="509">
        <v>217</v>
      </c>
      <c r="P18" s="509">
        <v>120</v>
      </c>
      <c r="Q18" s="21">
        <v>329</v>
      </c>
    </row>
    <row r="19" spans="1:17" s="22" customFormat="1" ht="13.5" customHeight="1">
      <c r="A19" s="497" t="s">
        <v>216</v>
      </c>
      <c r="B19" s="500">
        <v>63</v>
      </c>
      <c r="C19" s="499"/>
      <c r="D19" s="499"/>
      <c r="E19" s="499"/>
      <c r="F19" s="499"/>
      <c r="G19" s="499"/>
      <c r="H19" s="499"/>
      <c r="I19" s="499"/>
      <c r="J19" s="508"/>
      <c r="K19" s="508"/>
      <c r="L19" s="508"/>
      <c r="M19" s="508"/>
      <c r="N19" s="508"/>
      <c r="O19" s="508"/>
      <c r="P19" s="508"/>
      <c r="Q19" s="20"/>
    </row>
    <row r="20" spans="1:17" s="22" customFormat="1" ht="13.5" customHeight="1">
      <c r="A20" s="492"/>
      <c r="B20" s="498"/>
      <c r="C20" s="499"/>
      <c r="D20" s="499" t="s">
        <v>194</v>
      </c>
      <c r="E20" s="499"/>
      <c r="F20" s="499" t="s">
        <v>195</v>
      </c>
      <c r="G20" s="499"/>
      <c r="H20" s="499" t="s">
        <v>211</v>
      </c>
      <c r="I20" s="499"/>
      <c r="J20" s="508" t="s">
        <v>212</v>
      </c>
      <c r="K20" s="508"/>
      <c r="L20" s="508" t="s">
        <v>213</v>
      </c>
      <c r="M20" s="508"/>
      <c r="N20" s="508" t="s">
        <v>198</v>
      </c>
      <c r="O20" s="508"/>
      <c r="P20" s="508" t="s">
        <v>214</v>
      </c>
      <c r="Q20" s="20"/>
    </row>
    <row r="21" spans="1:17" s="22" customFormat="1" ht="13.5" customHeight="1">
      <c r="A21" s="492"/>
      <c r="B21" s="498"/>
      <c r="C21" s="499"/>
      <c r="D21" s="499" t="s">
        <v>199</v>
      </c>
      <c r="E21" s="499" t="s">
        <v>200</v>
      </c>
      <c r="F21" s="499" t="s">
        <v>199</v>
      </c>
      <c r="G21" s="499" t="s">
        <v>200</v>
      </c>
      <c r="H21" s="499" t="s">
        <v>199</v>
      </c>
      <c r="I21" s="499" t="s">
        <v>200</v>
      </c>
      <c r="J21" s="508" t="s">
        <v>199</v>
      </c>
      <c r="K21" s="508" t="s">
        <v>200</v>
      </c>
      <c r="L21" s="508" t="s">
        <v>199</v>
      </c>
      <c r="M21" s="508" t="s">
        <v>200</v>
      </c>
      <c r="N21" s="508" t="s">
        <v>199</v>
      </c>
      <c r="O21" s="508" t="s">
        <v>200</v>
      </c>
      <c r="P21" s="508" t="s">
        <v>199</v>
      </c>
      <c r="Q21" s="20" t="s">
        <v>200</v>
      </c>
    </row>
    <row r="22" spans="1:17" s="22" customFormat="1" ht="13.5" customHeight="1">
      <c r="A22" s="492"/>
      <c r="B22" s="498"/>
      <c r="C22" s="499" t="s">
        <v>217</v>
      </c>
      <c r="D22" s="498">
        <v>343</v>
      </c>
      <c r="E22" s="498">
        <v>542</v>
      </c>
      <c r="F22" s="498">
        <v>379</v>
      </c>
      <c r="G22" s="498">
        <v>699</v>
      </c>
      <c r="H22" s="498">
        <v>275</v>
      </c>
      <c r="I22" s="498">
        <v>525</v>
      </c>
      <c r="J22" s="509">
        <v>247.92</v>
      </c>
      <c r="K22" s="509">
        <v>432.29</v>
      </c>
      <c r="L22" s="509">
        <v>325</v>
      </c>
      <c r="M22" s="509">
        <v>337</v>
      </c>
      <c r="N22" s="509">
        <v>411</v>
      </c>
      <c r="O22" s="509">
        <v>483</v>
      </c>
      <c r="P22" s="509">
        <v>395</v>
      </c>
      <c r="Q22" s="21">
        <v>838.48</v>
      </c>
    </row>
    <row r="23" spans="1:17" s="22" customFormat="1" ht="13.5" customHeight="1">
      <c r="A23" s="497" t="s">
        <v>218</v>
      </c>
      <c r="B23" s="498">
        <f>AVERAGE(D22,F22,H22,J22,L22,N22,P22)</f>
        <v>339.4171428571429</v>
      </c>
      <c r="C23" s="499"/>
      <c r="D23" s="499"/>
      <c r="E23" s="499"/>
      <c r="F23" s="499"/>
      <c r="G23" s="499"/>
      <c r="H23" s="499"/>
      <c r="I23" s="499"/>
      <c r="J23" s="508"/>
      <c r="K23" s="508"/>
      <c r="L23" s="508"/>
      <c r="M23" s="508"/>
      <c r="N23" s="508"/>
      <c r="O23" s="508"/>
      <c r="P23" s="508"/>
      <c r="Q23" s="20"/>
    </row>
    <row r="24" spans="1:16" ht="12.75">
      <c r="A24" s="489" t="s">
        <v>14</v>
      </c>
      <c r="B24" s="490"/>
      <c r="C24" s="491"/>
      <c r="D24" s="491"/>
      <c r="E24" s="491"/>
      <c r="F24" s="491"/>
      <c r="G24" s="491"/>
      <c r="H24" s="491"/>
      <c r="I24" s="491"/>
      <c r="J24" s="503"/>
      <c r="K24" s="503"/>
      <c r="L24" s="503"/>
      <c r="M24" s="503"/>
      <c r="N24" s="503"/>
      <c r="O24" s="503"/>
      <c r="P24" s="503"/>
    </row>
    <row r="25" spans="1:16" ht="12.75">
      <c r="A25" s="492" t="s">
        <v>153</v>
      </c>
      <c r="B25" s="490"/>
      <c r="C25" s="491"/>
      <c r="D25" s="491"/>
      <c r="E25" s="491"/>
      <c r="F25" s="491"/>
      <c r="G25" s="491"/>
      <c r="H25" s="491"/>
      <c r="I25" s="491"/>
      <c r="J25" s="503"/>
      <c r="K25" s="503"/>
      <c r="L25" s="503"/>
      <c r="M25" s="503"/>
      <c r="N25" s="503"/>
      <c r="O25" s="503"/>
      <c r="P25" s="503"/>
    </row>
    <row r="26" spans="1:16" s="105" customFormat="1" ht="12.75">
      <c r="A26" s="493"/>
      <c r="B26" s="495"/>
      <c r="C26" s="495"/>
      <c r="D26" s="495" t="s">
        <v>194</v>
      </c>
      <c r="E26" s="495"/>
      <c r="F26" s="495" t="s">
        <v>195</v>
      </c>
      <c r="G26" s="495"/>
      <c r="H26" s="495" t="s">
        <v>196</v>
      </c>
      <c r="I26" s="495"/>
      <c r="J26" s="495" t="s">
        <v>197</v>
      </c>
      <c r="K26" s="495"/>
      <c r="L26" s="495" t="s">
        <v>198</v>
      </c>
      <c r="M26" s="495"/>
      <c r="N26" s="504"/>
      <c r="O26" s="504"/>
      <c r="P26" s="505"/>
    </row>
    <row r="27" spans="1:16" s="106" customFormat="1" ht="13.5" customHeight="1">
      <c r="A27" s="501"/>
      <c r="B27" s="495"/>
      <c r="C27" s="496"/>
      <c r="D27" s="496" t="s">
        <v>199</v>
      </c>
      <c r="E27" s="496" t="s">
        <v>200</v>
      </c>
      <c r="F27" s="496" t="s">
        <v>199</v>
      </c>
      <c r="G27" s="496" t="s">
        <v>200</v>
      </c>
      <c r="H27" s="496" t="s">
        <v>199</v>
      </c>
      <c r="I27" s="496" t="s">
        <v>200</v>
      </c>
      <c r="J27" s="496" t="s">
        <v>199</v>
      </c>
      <c r="K27" s="496" t="s">
        <v>200</v>
      </c>
      <c r="L27" s="496" t="s">
        <v>199</v>
      </c>
      <c r="M27" s="496" t="s">
        <v>200</v>
      </c>
      <c r="N27" s="506"/>
      <c r="O27" s="506"/>
      <c r="P27" s="510"/>
    </row>
    <row r="28" spans="1:16" s="105" customFormat="1" ht="12.75">
      <c r="A28" s="493"/>
      <c r="B28" s="495"/>
      <c r="C28" s="495" t="s">
        <v>201</v>
      </c>
      <c r="D28" s="494">
        <v>1000</v>
      </c>
      <c r="E28" s="494">
        <v>1995</v>
      </c>
      <c r="F28" s="494">
        <v>1000</v>
      </c>
      <c r="G28" s="494">
        <v>1795</v>
      </c>
      <c r="H28" s="494">
        <v>1000</v>
      </c>
      <c r="I28" s="494">
        <v>1995</v>
      </c>
      <c r="J28" s="494">
        <v>1000</v>
      </c>
      <c r="K28" s="494">
        <v>2140</v>
      </c>
      <c r="L28" s="494">
        <v>1000</v>
      </c>
      <c r="M28" s="494">
        <v>1900</v>
      </c>
      <c r="N28" s="507"/>
      <c r="O28" s="507"/>
      <c r="P28" s="505"/>
    </row>
    <row r="29" spans="1:16" s="105" customFormat="1" ht="12.75">
      <c r="A29" s="493"/>
      <c r="B29" s="494">
        <f>(0.937*(0.855*((D31+H31+J31+L31)/4)+0.145*F31)+(0.063*(0.86*((E31+I31+K31+M31)/4)+0.14*G31)))</f>
        <v>1283.4582761875</v>
      </c>
      <c r="C29" s="495" t="s">
        <v>203</v>
      </c>
      <c r="D29" s="494">
        <f>948+199+30</f>
        <v>1177</v>
      </c>
      <c r="E29" s="494">
        <f>2895+30</f>
        <v>2925</v>
      </c>
      <c r="F29" s="494">
        <f>1439+449+60</f>
        <v>1948</v>
      </c>
      <c r="G29" s="494">
        <f>3199+60</f>
        <v>3259</v>
      </c>
      <c r="H29" s="494">
        <f>1105+177+42</f>
        <v>1324</v>
      </c>
      <c r="I29" s="494">
        <f>2380+11</f>
        <v>2391</v>
      </c>
      <c r="J29" s="494">
        <f>1100+189+40+0</f>
        <v>1329</v>
      </c>
      <c r="K29" s="494">
        <f>2350+40+0</f>
        <v>2390</v>
      </c>
      <c r="L29" s="494">
        <f>1199+177+49</f>
        <v>1425</v>
      </c>
      <c r="M29" s="494">
        <f>2700+49</f>
        <v>2749</v>
      </c>
      <c r="N29" s="507"/>
      <c r="O29" s="507"/>
      <c r="P29" s="505"/>
    </row>
    <row r="30" spans="1:16" s="105" customFormat="1" ht="12.75">
      <c r="A30" s="493"/>
      <c r="B30" s="495"/>
      <c r="C30" s="495" t="s">
        <v>204</v>
      </c>
      <c r="D30" s="494">
        <f>1195+199+30</f>
        <v>1424</v>
      </c>
      <c r="E30" s="494"/>
      <c r="F30" s="494">
        <f>2249+449+60</f>
        <v>2758</v>
      </c>
      <c r="G30" s="494"/>
      <c r="H30" s="494">
        <f>1320+177+44</f>
        <v>1541</v>
      </c>
      <c r="I30" s="494"/>
      <c r="J30" s="494">
        <f>1399+189+40+0</f>
        <v>1628</v>
      </c>
      <c r="K30" s="494"/>
      <c r="L30" s="494">
        <f>1349+177+49</f>
        <v>1575</v>
      </c>
      <c r="M30" s="494"/>
      <c r="N30" s="507"/>
      <c r="O30" s="507"/>
      <c r="P30" s="505"/>
    </row>
    <row r="31" spans="1:16" s="105" customFormat="1" ht="12.75">
      <c r="A31" s="493"/>
      <c r="B31" s="495"/>
      <c r="C31" s="495" t="s">
        <v>205</v>
      </c>
      <c r="D31" s="494">
        <f>(0.54*D28)+(0.25*D29)+(0.21*D30)</f>
        <v>1133.29</v>
      </c>
      <c r="E31" s="494">
        <f>(0.595*E28)+(0.405*E29)</f>
        <v>2371.6499999999996</v>
      </c>
      <c r="F31" s="494">
        <f>(0.66*F28)+(0.26*F29)+(0.08*F30)</f>
        <v>1387.1200000000001</v>
      </c>
      <c r="G31" s="494">
        <f>(0.85*G28)+(0.15*G29)</f>
        <v>2014.6</v>
      </c>
      <c r="H31" s="494">
        <f>(0.54*H28)+(0.25*H29)+(0.21*H30)</f>
        <v>1194.6100000000001</v>
      </c>
      <c r="I31" s="494">
        <f>(0.595*I28)+(0.405*I29)</f>
        <v>2155.38</v>
      </c>
      <c r="J31" s="494">
        <f>(0.54*J28)+(0.25*J29)+(0.21*J30)</f>
        <v>1214.13</v>
      </c>
      <c r="K31" s="494">
        <f>(0.595*K28)+(0.405*K29)</f>
        <v>2241.25</v>
      </c>
      <c r="L31" s="494">
        <f>(0.54*L28)+(0.25*L29)+(0.21*L30)</f>
        <v>1227</v>
      </c>
      <c r="M31" s="494">
        <f>(0.595*M28)+(0.405*M29)</f>
        <v>2243.8450000000003</v>
      </c>
      <c r="N31" s="507"/>
      <c r="O31" s="507"/>
      <c r="P31" s="505"/>
    </row>
    <row r="32" spans="1:16" ht="12.75">
      <c r="A32" s="497" t="s">
        <v>219</v>
      </c>
      <c r="B32" s="494">
        <f>B29</f>
        <v>1283.4582761875</v>
      </c>
      <c r="C32" s="491"/>
      <c r="D32" s="491"/>
      <c r="E32" s="491"/>
      <c r="F32" s="491"/>
      <c r="G32" s="491"/>
      <c r="H32" s="491"/>
      <c r="I32" s="491"/>
      <c r="J32" s="503"/>
      <c r="K32" s="503"/>
      <c r="L32" s="503"/>
      <c r="M32" s="503"/>
      <c r="N32" s="503"/>
      <c r="O32" s="503"/>
      <c r="P32" s="503"/>
    </row>
    <row r="33" spans="1:16" ht="12.75">
      <c r="A33" s="497" t="s">
        <v>220</v>
      </c>
      <c r="B33" s="490">
        <f>Upgrade_Workstation_Cost</f>
        <v>300</v>
      </c>
      <c r="C33" s="491" t="s">
        <v>137</v>
      </c>
      <c r="D33" s="491"/>
      <c r="E33" s="491"/>
      <c r="F33" s="491"/>
      <c r="G33" s="491"/>
      <c r="H33" s="491"/>
      <c r="I33" s="491"/>
      <c r="J33" s="503"/>
      <c r="K33" s="503"/>
      <c r="L33" s="503"/>
      <c r="M33" s="503"/>
      <c r="N33" s="503"/>
      <c r="O33" s="503"/>
      <c r="P33" s="503"/>
    </row>
    <row r="34" spans="1:16" ht="12.75">
      <c r="A34" s="497" t="s">
        <v>221</v>
      </c>
      <c r="B34" s="490">
        <f>((E31+I31+K31+M31+O31)/5*0.8)+(0.2*G31)</f>
        <v>1844.8600000000001</v>
      </c>
      <c r="C34" s="491"/>
      <c r="D34" s="491"/>
      <c r="E34" s="491"/>
      <c r="F34" s="491"/>
      <c r="G34" s="491"/>
      <c r="H34" s="491"/>
      <c r="I34" s="491"/>
      <c r="J34" s="503"/>
      <c r="K34" s="503"/>
      <c r="L34" s="503"/>
      <c r="M34" s="503"/>
      <c r="N34" s="503"/>
      <c r="O34" s="503"/>
      <c r="P34" s="503"/>
    </row>
    <row r="35" spans="1:16" ht="12.75">
      <c r="A35" s="497"/>
      <c r="B35" s="490"/>
      <c r="C35" s="491"/>
      <c r="D35" s="491" t="s">
        <v>222</v>
      </c>
      <c r="E35" s="491"/>
      <c r="F35" s="491" t="s">
        <v>196</v>
      </c>
      <c r="G35" s="502"/>
      <c r="H35" s="502" t="s">
        <v>223</v>
      </c>
      <c r="I35" s="502"/>
      <c r="J35" s="503"/>
      <c r="K35" s="503"/>
      <c r="L35" s="503"/>
      <c r="M35" s="503"/>
      <c r="N35" s="503"/>
      <c r="O35" s="503"/>
      <c r="P35" s="503"/>
    </row>
    <row r="36" spans="1:16" ht="12.75">
      <c r="A36" s="497"/>
      <c r="B36" s="490"/>
      <c r="C36" s="491"/>
      <c r="D36" s="491" t="s">
        <v>224</v>
      </c>
      <c r="E36" s="491" t="s">
        <v>225</v>
      </c>
      <c r="F36" s="491" t="s">
        <v>224</v>
      </c>
      <c r="G36" s="502" t="s">
        <v>226</v>
      </c>
      <c r="H36" s="502" t="s">
        <v>224</v>
      </c>
      <c r="I36" s="502" t="s">
        <v>225</v>
      </c>
      <c r="J36" s="503"/>
      <c r="K36" s="503"/>
      <c r="L36" s="503"/>
      <c r="M36" s="503"/>
      <c r="N36" s="503"/>
      <c r="O36" s="503"/>
      <c r="P36" s="503"/>
    </row>
    <row r="37" spans="1:16" ht="12.75">
      <c r="A37" s="497"/>
      <c r="B37" s="490"/>
      <c r="C37" s="491" t="s">
        <v>201</v>
      </c>
      <c r="D37" s="490">
        <f>310</f>
        <v>310</v>
      </c>
      <c r="E37" s="490"/>
      <c r="F37" s="490">
        <f>255+15+15</f>
        <v>285</v>
      </c>
      <c r="G37" s="502">
        <f>240+255</f>
        <v>495</v>
      </c>
      <c r="H37" s="502">
        <f>237+15+15</f>
        <v>267</v>
      </c>
      <c r="I37" s="502"/>
      <c r="J37" s="503"/>
      <c r="K37" s="503"/>
      <c r="L37" s="503"/>
      <c r="M37" s="503"/>
      <c r="N37" s="503"/>
      <c r="O37" s="503"/>
      <c r="P37" s="503"/>
    </row>
    <row r="38" spans="1:16" ht="12.75">
      <c r="A38" s="497"/>
      <c r="B38" s="490"/>
      <c r="C38" s="491" t="s">
        <v>203</v>
      </c>
      <c r="D38" s="490">
        <f>498</f>
        <v>498</v>
      </c>
      <c r="E38" s="490"/>
      <c r="F38" s="490">
        <f>380+15+15</f>
        <v>410</v>
      </c>
      <c r="G38" s="502">
        <f>410+240</f>
        <v>650</v>
      </c>
      <c r="H38" s="502">
        <f>391+15+15</f>
        <v>421</v>
      </c>
      <c r="I38" s="502">
        <f>421+229</f>
        <v>650</v>
      </c>
      <c r="J38" s="503"/>
      <c r="K38" s="503"/>
      <c r="L38" s="503"/>
      <c r="M38" s="503"/>
      <c r="N38" s="503"/>
      <c r="O38" s="503"/>
      <c r="P38" s="503"/>
    </row>
    <row r="39" spans="1:16" ht="12.75">
      <c r="A39" s="497"/>
      <c r="B39" s="490"/>
      <c r="C39" s="491" t="s">
        <v>227</v>
      </c>
      <c r="D39" s="490">
        <f>366</f>
        <v>366</v>
      </c>
      <c r="E39" s="490"/>
      <c r="F39" s="490">
        <f>305</f>
        <v>305</v>
      </c>
      <c r="G39" s="502"/>
      <c r="H39" s="502">
        <f>284+15+15</f>
        <v>314</v>
      </c>
      <c r="I39" s="502"/>
      <c r="J39" s="503"/>
      <c r="K39" s="503"/>
      <c r="L39" s="503"/>
      <c r="M39" s="503"/>
      <c r="N39" s="503"/>
      <c r="O39" s="503"/>
      <c r="P39" s="503"/>
    </row>
    <row r="40" spans="1:16" ht="12.75">
      <c r="A40" s="497"/>
      <c r="B40" s="490"/>
      <c r="C40" s="491" t="s">
        <v>228</v>
      </c>
      <c r="D40" s="490">
        <f>1895</f>
        <v>1895</v>
      </c>
      <c r="E40" s="490"/>
      <c r="F40" s="490">
        <f>1405</f>
        <v>1405</v>
      </c>
      <c r="G40" s="502"/>
      <c r="H40" s="502">
        <f>2025</f>
        <v>2025</v>
      </c>
      <c r="I40" s="502"/>
      <c r="J40" s="503"/>
      <c r="K40" s="503"/>
      <c r="L40" s="503"/>
      <c r="M40" s="503"/>
      <c r="N40" s="503"/>
      <c r="O40" s="503"/>
      <c r="P40" s="503"/>
    </row>
    <row r="41" spans="1:16" ht="12.75">
      <c r="A41" s="497"/>
      <c r="B41" s="490"/>
      <c r="C41" s="491" t="s">
        <v>205</v>
      </c>
      <c r="D41" s="490">
        <f aca="true" t="shared" si="0" ref="D41:I41">(0.9*D37)+(0.08*D38)+(0.01*D39)+(0.01*D40)</f>
        <v>341.45000000000005</v>
      </c>
      <c r="E41" s="490">
        <f t="shared" si="0"/>
        <v>0</v>
      </c>
      <c r="F41" s="490">
        <f t="shared" si="0"/>
        <v>306.40000000000003</v>
      </c>
      <c r="G41" s="490">
        <f t="shared" si="0"/>
        <v>497.5</v>
      </c>
      <c r="H41" s="490">
        <f t="shared" si="0"/>
        <v>297.37</v>
      </c>
      <c r="I41" s="490">
        <f t="shared" si="0"/>
        <v>52</v>
      </c>
      <c r="J41" s="503"/>
      <c r="K41" s="503"/>
      <c r="L41" s="503"/>
      <c r="M41" s="503"/>
      <c r="N41" s="503"/>
      <c r="O41" s="503"/>
      <c r="P41" s="503"/>
    </row>
    <row r="42" spans="1:16" ht="12.75">
      <c r="A42" s="497" t="s">
        <v>229</v>
      </c>
      <c r="B42" s="490">
        <f>(0.9*(0.8*AVERAGE(D41,F41,H41))+(0.2*AVERAGE(E41,G41,I41)))+(0.1*(0.8*AVERAGE(D48,F48,H48)+(0.2*AVERAGE(E48,G48,I48))))</f>
        <v>295.5512666666667</v>
      </c>
      <c r="C42" s="491"/>
      <c r="D42" s="491"/>
      <c r="E42" s="491"/>
      <c r="F42" s="491"/>
      <c r="G42" s="491"/>
      <c r="H42" s="491"/>
      <c r="I42" s="491"/>
      <c r="J42" s="503"/>
      <c r="K42" s="503"/>
      <c r="L42" s="503"/>
      <c r="M42" s="503"/>
      <c r="N42" s="503"/>
      <c r="O42" s="503"/>
      <c r="P42" s="503"/>
    </row>
    <row r="43" spans="1:16" ht="12.75">
      <c r="A43" s="497"/>
      <c r="B43" s="490"/>
      <c r="C43" s="491"/>
      <c r="D43" s="491" t="s">
        <v>222</v>
      </c>
      <c r="E43" s="491"/>
      <c r="F43" s="491" t="s">
        <v>196</v>
      </c>
      <c r="G43" s="502"/>
      <c r="H43" s="502" t="s">
        <v>223</v>
      </c>
      <c r="I43" s="502"/>
      <c r="J43" s="503"/>
      <c r="K43" s="503"/>
      <c r="L43" s="503"/>
      <c r="M43" s="503"/>
      <c r="N43" s="503"/>
      <c r="O43" s="503"/>
      <c r="P43" s="503"/>
    </row>
    <row r="44" spans="1:16" ht="12.75">
      <c r="A44" s="497"/>
      <c r="B44" s="490"/>
      <c r="C44" s="491"/>
      <c r="D44" s="491" t="s">
        <v>224</v>
      </c>
      <c r="E44" s="491" t="s">
        <v>225</v>
      </c>
      <c r="F44" s="491" t="s">
        <v>224</v>
      </c>
      <c r="G44" s="502" t="s">
        <v>226</v>
      </c>
      <c r="H44" s="502" t="s">
        <v>224</v>
      </c>
      <c r="I44" s="502" t="s">
        <v>225</v>
      </c>
      <c r="J44" s="503"/>
      <c r="K44" s="503"/>
      <c r="L44" s="503"/>
      <c r="M44" s="503"/>
      <c r="N44" s="503"/>
      <c r="O44" s="503"/>
      <c r="P44" s="503"/>
    </row>
    <row r="45" spans="1:16" ht="12.75">
      <c r="A45" s="497"/>
      <c r="B45" s="490"/>
      <c r="C45" s="491" t="s">
        <v>230</v>
      </c>
      <c r="D45" s="490">
        <f>375</f>
        <v>375</v>
      </c>
      <c r="E45" s="490">
        <f>375</f>
        <v>375</v>
      </c>
      <c r="F45" s="490">
        <f>255+15+15</f>
        <v>285</v>
      </c>
      <c r="G45" s="502"/>
      <c r="H45" s="502">
        <f>271+15+15</f>
        <v>301</v>
      </c>
      <c r="I45" s="502"/>
      <c r="J45" s="503"/>
      <c r="K45" s="503"/>
      <c r="L45" s="503"/>
      <c r="M45" s="503"/>
      <c r="N45" s="503"/>
      <c r="O45" s="503"/>
      <c r="P45" s="503"/>
    </row>
    <row r="46" spans="1:16" ht="12.75">
      <c r="A46" s="497"/>
      <c r="B46" s="490"/>
      <c r="C46" s="491" t="s">
        <v>201</v>
      </c>
      <c r="D46" s="490">
        <f>595</f>
        <v>595</v>
      </c>
      <c r="E46" s="490">
        <v>595</v>
      </c>
      <c r="F46" s="490">
        <f>315+15+15</f>
        <v>345</v>
      </c>
      <c r="G46" s="502"/>
      <c r="H46" s="502">
        <f>323+15+15</f>
        <v>353</v>
      </c>
      <c r="I46" s="502"/>
      <c r="J46" s="503"/>
      <c r="K46" s="503"/>
      <c r="L46" s="503"/>
      <c r="M46" s="503"/>
      <c r="N46" s="503"/>
      <c r="O46" s="503"/>
      <c r="P46" s="503"/>
    </row>
    <row r="47" spans="1:16" ht="12.75">
      <c r="A47" s="497"/>
      <c r="B47" s="490"/>
      <c r="C47" s="491" t="s">
        <v>203</v>
      </c>
      <c r="D47" s="490">
        <f>1195</f>
        <v>1195</v>
      </c>
      <c r="E47" s="490">
        <f>1195+350</f>
        <v>1545</v>
      </c>
      <c r="F47" s="490">
        <f>1330+25+25</f>
        <v>1380</v>
      </c>
      <c r="G47" s="502">
        <f>1380+350</f>
        <v>1730</v>
      </c>
      <c r="H47" s="502">
        <f>1394+15+139</f>
        <v>1548</v>
      </c>
      <c r="I47" s="502">
        <f>1548+185</f>
        <v>1733</v>
      </c>
      <c r="J47" s="503"/>
      <c r="K47" s="503"/>
      <c r="L47" s="503"/>
      <c r="M47" s="503"/>
      <c r="N47" s="503"/>
      <c r="O47" s="503"/>
      <c r="P47" s="503"/>
    </row>
    <row r="48" spans="1:16" ht="12.75">
      <c r="A48" s="497"/>
      <c r="B48" s="490"/>
      <c r="C48" s="491" t="s">
        <v>205</v>
      </c>
      <c r="D48" s="490">
        <f aca="true" t="shared" si="1" ref="D48:I48">(0.72*D45)+(0.27*D46)+(0.01*D47)</f>
        <v>442.59999999999997</v>
      </c>
      <c r="E48" s="490">
        <f t="shared" si="1"/>
        <v>446.09999999999997</v>
      </c>
      <c r="F48" s="490">
        <f t="shared" si="1"/>
        <v>312.15000000000003</v>
      </c>
      <c r="G48" s="490">
        <f t="shared" si="1"/>
        <v>17.3</v>
      </c>
      <c r="H48" s="490">
        <f t="shared" si="1"/>
        <v>327.51</v>
      </c>
      <c r="I48" s="490">
        <f t="shared" si="1"/>
        <v>17.330000000000002</v>
      </c>
      <c r="J48" s="503"/>
      <c r="K48" s="503"/>
      <c r="L48" s="503"/>
      <c r="M48" s="503"/>
      <c r="N48" s="503"/>
      <c r="O48" s="503"/>
      <c r="P48" s="503"/>
    </row>
    <row r="49" spans="1:16" ht="12.75">
      <c r="A49" s="497" t="s">
        <v>231</v>
      </c>
      <c r="B49" s="490">
        <f>(0.8*AVERAGE(D48,F48,H48))+(0.2*AVERAGE(E48,G48,I48))</f>
        <v>320.65133333333335</v>
      </c>
      <c r="C49" s="491"/>
      <c r="D49" s="491"/>
      <c r="E49" s="491"/>
      <c r="F49" s="491"/>
      <c r="G49" s="491"/>
      <c r="H49" s="491"/>
      <c r="I49" s="491"/>
      <c r="J49" s="503"/>
      <c r="K49" s="503"/>
      <c r="L49" s="503"/>
      <c r="M49" s="503"/>
      <c r="N49" s="503"/>
      <c r="O49" s="503"/>
      <c r="P49" s="503"/>
    </row>
    <row r="50" spans="1:16" ht="12.75">
      <c r="A50" s="497"/>
      <c r="B50" s="490"/>
      <c r="C50" s="491"/>
      <c r="D50" s="491" t="s">
        <v>232</v>
      </c>
      <c r="E50" s="491"/>
      <c r="F50" s="491" t="s">
        <v>196</v>
      </c>
      <c r="G50" s="502"/>
      <c r="H50" s="502" t="s">
        <v>223</v>
      </c>
      <c r="I50" s="502"/>
      <c r="J50" s="503"/>
      <c r="K50" s="503"/>
      <c r="L50" s="503"/>
      <c r="M50" s="503"/>
      <c r="N50" s="503"/>
      <c r="O50" s="503"/>
      <c r="P50" s="503"/>
    </row>
    <row r="51" spans="1:16" ht="12.75">
      <c r="A51" s="497"/>
      <c r="B51" s="490"/>
      <c r="C51" s="491"/>
      <c r="D51" s="491" t="s">
        <v>224</v>
      </c>
      <c r="E51" s="491" t="s">
        <v>225</v>
      </c>
      <c r="F51" s="491" t="s">
        <v>224</v>
      </c>
      <c r="G51" s="502" t="s">
        <v>226</v>
      </c>
      <c r="H51" s="502" t="s">
        <v>224</v>
      </c>
      <c r="I51" s="502" t="s">
        <v>225</v>
      </c>
      <c r="J51" s="503"/>
      <c r="K51" s="503"/>
      <c r="L51" s="503"/>
      <c r="M51" s="503"/>
      <c r="N51" s="503"/>
      <c r="O51" s="503"/>
      <c r="P51" s="503"/>
    </row>
    <row r="52" spans="1:16" ht="12.75">
      <c r="A52" s="497"/>
      <c r="B52" s="490"/>
      <c r="C52" s="491" t="s">
        <v>201</v>
      </c>
      <c r="D52" s="490">
        <f>1425</f>
        <v>1425</v>
      </c>
      <c r="E52" s="490">
        <f>1425</f>
        <v>1425</v>
      </c>
      <c r="F52" s="490">
        <f>1110+15+100</f>
        <v>1225</v>
      </c>
      <c r="G52" s="502">
        <f>1225+242</f>
        <v>1467</v>
      </c>
      <c r="H52" s="502">
        <f>1095+15+92</f>
        <v>1202</v>
      </c>
      <c r="I52" s="502">
        <f>1202+299</f>
        <v>1501</v>
      </c>
      <c r="J52" s="503"/>
      <c r="K52" s="503"/>
      <c r="L52" s="503"/>
      <c r="M52" s="503"/>
      <c r="N52" s="503"/>
      <c r="O52" s="503"/>
      <c r="P52" s="503"/>
    </row>
    <row r="53" spans="1:16" ht="12.75">
      <c r="A53" s="497"/>
      <c r="B53" s="490"/>
      <c r="C53" s="491" t="s">
        <v>203</v>
      </c>
      <c r="D53" s="490">
        <f>1695</f>
        <v>1695</v>
      </c>
      <c r="E53" s="490">
        <f>1695</f>
        <v>1695</v>
      </c>
      <c r="F53" s="490">
        <f>1475+100</f>
        <v>1575</v>
      </c>
      <c r="G53" s="502">
        <f>1575+503</f>
        <v>2078</v>
      </c>
      <c r="H53" s="502">
        <f>1311+15+91</f>
        <v>1417</v>
      </c>
      <c r="I53" s="502">
        <f>1417+299</f>
        <v>1716</v>
      </c>
      <c r="J53" s="503"/>
      <c r="K53" s="503"/>
      <c r="L53" s="503"/>
      <c r="M53" s="503"/>
      <c r="N53" s="503"/>
      <c r="O53" s="503"/>
      <c r="P53" s="503"/>
    </row>
    <row r="54" spans="1:16" ht="12.75">
      <c r="A54" s="497"/>
      <c r="B54" s="490"/>
      <c r="C54" s="491" t="s">
        <v>204</v>
      </c>
      <c r="D54" s="490">
        <f>4336.57+35+95</f>
        <v>4466.57</v>
      </c>
      <c r="E54" s="490">
        <f>4467</f>
        <v>4467</v>
      </c>
      <c r="F54" s="490">
        <f>3435+15+100</f>
        <v>3550</v>
      </c>
      <c r="G54" s="502">
        <f>3550+242</f>
        <v>3792</v>
      </c>
      <c r="H54" s="502">
        <f>3127+203</f>
        <v>3330</v>
      </c>
      <c r="I54" s="502">
        <f>3330+299</f>
        <v>3629</v>
      </c>
      <c r="J54" s="503"/>
      <c r="K54" s="503"/>
      <c r="L54" s="503"/>
      <c r="M54" s="503"/>
      <c r="N54" s="503"/>
      <c r="O54" s="503"/>
      <c r="P54" s="503"/>
    </row>
    <row r="55" spans="1:16" ht="12.75">
      <c r="A55" s="497"/>
      <c r="B55" s="490"/>
      <c r="C55" s="491" t="s">
        <v>205</v>
      </c>
      <c r="D55" s="490">
        <f aca="true" t="shared" si="2" ref="D55:I55">(0.48*D52)+(0.5*D53)+(0.02*D54)</f>
        <v>1620.8314</v>
      </c>
      <c r="E55" s="490">
        <f t="shared" si="2"/>
        <v>1620.84</v>
      </c>
      <c r="F55" s="490">
        <f t="shared" si="2"/>
        <v>1446.5</v>
      </c>
      <c r="G55" s="502">
        <f t="shared" si="2"/>
        <v>1818.9999999999998</v>
      </c>
      <c r="H55" s="502">
        <f t="shared" si="2"/>
        <v>1352.06</v>
      </c>
      <c r="I55" s="502">
        <f t="shared" si="2"/>
        <v>1651.06</v>
      </c>
      <c r="J55" s="503"/>
      <c r="K55" s="503"/>
      <c r="L55" s="503"/>
      <c r="M55" s="503"/>
      <c r="N55" s="503"/>
      <c r="O55" s="503"/>
      <c r="P55" s="503"/>
    </row>
    <row r="56" spans="1:16" ht="12.75">
      <c r="A56" s="497" t="s">
        <v>233</v>
      </c>
      <c r="B56" s="490">
        <f>(0.8*AVERAGE(D55,F55,H55))+(0.2*AVERAGE(E55,G55,I55))</f>
        <v>1517.8977066666666</v>
      </c>
      <c r="C56" s="491"/>
      <c r="D56" s="491"/>
      <c r="E56" s="491"/>
      <c r="F56" s="491"/>
      <c r="G56" s="491"/>
      <c r="H56" s="491"/>
      <c r="I56" s="491"/>
      <c r="J56" s="503"/>
      <c r="K56" s="503"/>
      <c r="L56" s="503"/>
      <c r="M56" s="503"/>
      <c r="N56" s="503"/>
      <c r="O56" s="503"/>
      <c r="P56" s="503"/>
    </row>
    <row r="57" spans="1:16" ht="12.75">
      <c r="A57" s="497"/>
      <c r="B57" s="490"/>
      <c r="C57" s="491"/>
      <c r="D57" s="491" t="s">
        <v>196</v>
      </c>
      <c r="E57" s="491" t="s">
        <v>198</v>
      </c>
      <c r="F57" s="491"/>
      <c r="G57" s="491"/>
      <c r="H57" s="491"/>
      <c r="I57" s="491"/>
      <c r="J57" s="503"/>
      <c r="K57" s="503"/>
      <c r="L57" s="503"/>
      <c r="M57" s="503"/>
      <c r="N57" s="503"/>
      <c r="O57" s="503"/>
      <c r="P57" s="503"/>
    </row>
    <row r="58" spans="1:16" ht="12.75">
      <c r="A58" s="497"/>
      <c r="B58" s="490"/>
      <c r="C58" s="491" t="s">
        <v>234</v>
      </c>
      <c r="D58" s="490">
        <v>3500</v>
      </c>
      <c r="E58" s="490">
        <v>3500</v>
      </c>
      <c r="F58" s="491"/>
      <c r="G58" s="491"/>
      <c r="H58" s="491"/>
      <c r="I58" s="491"/>
      <c r="J58" s="503"/>
      <c r="K58" s="503"/>
      <c r="L58" s="503"/>
      <c r="M58" s="503"/>
      <c r="N58" s="503"/>
      <c r="O58" s="503"/>
      <c r="P58" s="503"/>
    </row>
    <row r="59" spans="1:9" ht="12.75">
      <c r="A59" s="497" t="s">
        <v>235</v>
      </c>
      <c r="B59" s="490">
        <f>AVERAGE(D58:E58)</f>
        <v>3500</v>
      </c>
      <c r="C59" s="491"/>
      <c r="D59" s="491"/>
      <c r="E59" s="491"/>
      <c r="F59" s="491"/>
      <c r="G59" s="491"/>
      <c r="H59" s="491"/>
      <c r="I59" s="491"/>
    </row>
    <row r="60" spans="1:9" ht="12.75">
      <c r="A60" s="497" t="s">
        <v>236</v>
      </c>
      <c r="B60" s="500">
        <f>387+129</f>
        <v>516</v>
      </c>
      <c r="C60" s="491" t="s">
        <v>25</v>
      </c>
      <c r="D60" s="491"/>
      <c r="E60" s="491"/>
      <c r="F60" s="491"/>
      <c r="G60" s="491"/>
      <c r="H60" s="491"/>
      <c r="I60" s="491"/>
    </row>
    <row r="61" spans="1:9" ht="12.75">
      <c r="A61" s="497" t="s">
        <v>237</v>
      </c>
      <c r="B61" s="490">
        <f>Staff_Workstation_Cost</f>
        <v>1283.4582761875</v>
      </c>
      <c r="C61" s="491"/>
      <c r="D61" s="491"/>
      <c r="E61" s="491"/>
      <c r="F61" s="491"/>
      <c r="G61" s="491"/>
      <c r="H61" s="491"/>
      <c r="I61" s="491"/>
    </row>
    <row r="62" spans="1:9" ht="12.75">
      <c r="A62" s="497" t="s">
        <v>238</v>
      </c>
      <c r="B62" s="490">
        <f>Upgrade_Workstation_Cost</f>
        <v>300</v>
      </c>
      <c r="C62" s="491"/>
      <c r="D62" s="491"/>
      <c r="E62" s="491"/>
      <c r="F62" s="491"/>
      <c r="G62" s="491"/>
      <c r="H62" s="491"/>
      <c r="I62" s="491"/>
    </row>
    <row r="63" spans="1:9" ht="12.75">
      <c r="A63" s="497" t="s">
        <v>239</v>
      </c>
      <c r="B63" s="490">
        <f>Dot_Matrix_Inkjet_Printer_Cost</f>
        <v>295.5512666666667</v>
      </c>
      <c r="C63" s="491"/>
      <c r="D63" s="491"/>
      <c r="E63" s="491"/>
      <c r="F63" s="491"/>
      <c r="G63" s="491"/>
      <c r="H63" s="491"/>
      <c r="I63" s="491"/>
    </row>
    <row r="64" spans="1:9" ht="12.75">
      <c r="A64" s="497"/>
      <c r="B64" s="490"/>
      <c r="C64" s="491"/>
      <c r="D64" s="491" t="s">
        <v>232</v>
      </c>
      <c r="E64" s="491"/>
      <c r="F64" s="491" t="s">
        <v>196</v>
      </c>
      <c r="G64" s="491"/>
      <c r="H64" s="491" t="s">
        <v>223</v>
      </c>
      <c r="I64" s="491"/>
    </row>
    <row r="65" spans="1:9" ht="12.75">
      <c r="A65" s="497"/>
      <c r="B65" s="490"/>
      <c r="C65" s="491"/>
      <c r="D65" s="491" t="s">
        <v>224</v>
      </c>
      <c r="E65" s="491" t="s">
        <v>225</v>
      </c>
      <c r="F65" s="491" t="s">
        <v>224</v>
      </c>
      <c r="G65" s="491" t="s">
        <v>225</v>
      </c>
      <c r="H65" s="491" t="s">
        <v>224</v>
      </c>
      <c r="I65" s="491" t="s">
        <v>225</v>
      </c>
    </row>
    <row r="66" spans="1:9" ht="12.75">
      <c r="A66" s="497"/>
      <c r="B66" s="490"/>
      <c r="C66" s="491" t="s">
        <v>201</v>
      </c>
      <c r="D66" s="490">
        <f>1425</f>
        <v>1425</v>
      </c>
      <c r="E66" s="490">
        <f>1425</f>
        <v>1425</v>
      </c>
      <c r="F66" s="490">
        <f>1110+15+100</f>
        <v>1225</v>
      </c>
      <c r="G66" s="502">
        <f>1225+242</f>
        <v>1467</v>
      </c>
      <c r="H66" s="502">
        <f>1095+15+92</f>
        <v>1202</v>
      </c>
      <c r="I66" s="502">
        <f>1202+299</f>
        <v>1501</v>
      </c>
    </row>
    <row r="67" spans="1:9" ht="12.75">
      <c r="A67" s="497"/>
      <c r="B67" s="490"/>
      <c r="C67" s="491" t="s">
        <v>203</v>
      </c>
      <c r="D67" s="490">
        <f>1695</f>
        <v>1695</v>
      </c>
      <c r="E67" s="490">
        <f>1695</f>
        <v>1695</v>
      </c>
      <c r="F67" s="490">
        <f>1475+100</f>
        <v>1575</v>
      </c>
      <c r="G67" s="502">
        <f>1575+503</f>
        <v>2078</v>
      </c>
      <c r="H67" s="502">
        <f>1311+15+91</f>
        <v>1417</v>
      </c>
      <c r="I67" s="502">
        <f>1417+299</f>
        <v>1716</v>
      </c>
    </row>
    <row r="68" spans="1:9" ht="12.75">
      <c r="A68" s="497"/>
      <c r="B68" s="490"/>
      <c r="C68" s="491" t="s">
        <v>204</v>
      </c>
      <c r="D68" s="490">
        <f>4336.57+35+95</f>
        <v>4466.57</v>
      </c>
      <c r="E68" s="490">
        <f>4467</f>
        <v>4467</v>
      </c>
      <c r="F68" s="490">
        <f>3435+15+100</f>
        <v>3550</v>
      </c>
      <c r="G68" s="502">
        <f>3550+242</f>
        <v>3792</v>
      </c>
      <c r="H68" s="502">
        <f>3127+203</f>
        <v>3330</v>
      </c>
      <c r="I68" s="502">
        <f>3330+299</f>
        <v>3629</v>
      </c>
    </row>
    <row r="69" spans="1:9" ht="12.75">
      <c r="A69" s="497"/>
      <c r="B69" s="490"/>
      <c r="C69" s="491" t="s">
        <v>205</v>
      </c>
      <c r="D69" s="490">
        <f aca="true" t="shared" si="3" ref="D69:I69">(0.48*D66)+(0.5*D67)+(0.02*D68)</f>
        <v>1620.8314</v>
      </c>
      <c r="E69" s="490">
        <f t="shared" si="3"/>
        <v>1620.84</v>
      </c>
      <c r="F69" s="490">
        <f t="shared" si="3"/>
        <v>1446.5</v>
      </c>
      <c r="G69" s="490">
        <f t="shared" si="3"/>
        <v>1818.9999999999998</v>
      </c>
      <c r="H69" s="490">
        <f t="shared" si="3"/>
        <v>1352.06</v>
      </c>
      <c r="I69" s="490">
        <f t="shared" si="3"/>
        <v>1651.06</v>
      </c>
    </row>
    <row r="70" spans="1:2" ht="12.75">
      <c r="A70" s="7" t="s">
        <v>28</v>
      </c>
      <c r="B70" s="4">
        <f>(0.8*AVERAGE(D69,F69,H69))+(0.2*AVERAGE(E69,G69,I69))</f>
        <v>1517.8977066666666</v>
      </c>
    </row>
    <row r="71" spans="1:5" ht="12.75">
      <c r="A71" s="7"/>
      <c r="D71" s="5" t="s">
        <v>196</v>
      </c>
      <c r="E71" s="5" t="s">
        <v>198</v>
      </c>
    </row>
    <row r="72" spans="1:5" ht="12.75">
      <c r="A72" s="7"/>
      <c r="C72" s="5" t="s">
        <v>240</v>
      </c>
      <c r="D72" s="4">
        <v>8000</v>
      </c>
      <c r="E72" s="4">
        <v>8000</v>
      </c>
    </row>
    <row r="73" spans="1:2" ht="12.75">
      <c r="A73" s="7" t="s">
        <v>241</v>
      </c>
      <c r="B73" s="4">
        <f>AVERAGE(D72:E72)</f>
        <v>8000</v>
      </c>
    </row>
    <row r="74" ht="20.25">
      <c r="A74" s="15" t="s">
        <v>51</v>
      </c>
    </row>
    <row r="75" spans="1:6" ht="12.75">
      <c r="A75" s="7"/>
      <c r="D75" s="5" t="s">
        <v>196</v>
      </c>
      <c r="E75" s="5" t="s">
        <v>198</v>
      </c>
      <c r="F75" s="5" t="s">
        <v>242</v>
      </c>
    </row>
    <row r="76" spans="1:6" ht="12.75">
      <c r="A76" s="7"/>
      <c r="C76" s="5" t="s">
        <v>243</v>
      </c>
      <c r="D76" s="4">
        <v>5277</v>
      </c>
      <c r="E76" s="4">
        <v>4655</v>
      </c>
      <c r="F76" s="12">
        <v>400</v>
      </c>
    </row>
    <row r="77" spans="1:6" ht="12.75">
      <c r="A77" s="7"/>
      <c r="C77" s="5" t="s">
        <v>244</v>
      </c>
      <c r="D77" s="4">
        <v>569</v>
      </c>
      <c r="E77" s="4">
        <v>591</v>
      </c>
      <c r="F77" s="12">
        <v>50</v>
      </c>
    </row>
    <row r="78" spans="1:6" ht="12.75">
      <c r="A78" s="7" t="s">
        <v>245</v>
      </c>
      <c r="B78" s="4">
        <f>(550)/5</f>
        <v>110</v>
      </c>
      <c r="D78" s="4"/>
      <c r="E78" s="4"/>
      <c r="F78" s="12"/>
    </row>
    <row r="79" spans="1:2" ht="12.75">
      <c r="A79" s="7" t="s">
        <v>246</v>
      </c>
      <c r="B79" s="4">
        <f>(3500)/100</f>
        <v>35</v>
      </c>
    </row>
    <row r="80" spans="1:3" ht="12.75">
      <c r="A80" s="7" t="s">
        <v>247</v>
      </c>
      <c r="B80" s="4">
        <v>3250</v>
      </c>
      <c r="C80" s="5" t="s">
        <v>248</v>
      </c>
    </row>
    <row r="81" ht="20.25">
      <c r="A81" s="15" t="s">
        <v>210</v>
      </c>
    </row>
    <row r="82" spans="1:2" ht="12.75">
      <c r="A82" s="7" t="s">
        <v>249</v>
      </c>
      <c r="B82" s="4">
        <f>Enet_NIC_Cost</f>
        <v>63</v>
      </c>
    </row>
    <row r="83" spans="1:2" ht="12.75">
      <c r="A83" s="7" t="s">
        <v>250</v>
      </c>
      <c r="B83" s="4">
        <f>TR_NIC_Cost</f>
        <v>339.4171428571429</v>
      </c>
    </row>
    <row r="84" spans="1:2" ht="12.75">
      <c r="A84" s="7" t="s">
        <v>251</v>
      </c>
      <c r="B84" s="4">
        <f>Enet_NIC_Cost</f>
        <v>63</v>
      </c>
    </row>
    <row r="85" spans="1:2" ht="12.75">
      <c r="A85" s="7" t="s">
        <v>252</v>
      </c>
      <c r="B85" s="4">
        <f>TR_NIC_Cost</f>
        <v>339.4171428571429</v>
      </c>
    </row>
    <row r="86" spans="1:4" ht="12.75">
      <c r="A86" s="7"/>
      <c r="C86" s="5" t="s">
        <v>253</v>
      </c>
      <c r="D86" s="5">
        <v>200</v>
      </c>
    </row>
    <row r="87" spans="1:6" ht="12.75">
      <c r="A87" s="7"/>
      <c r="C87" s="5" t="s">
        <v>254</v>
      </c>
      <c r="D87" s="5">
        <v>2</v>
      </c>
      <c r="E87" s="23">
        <v>0.25</v>
      </c>
      <c r="F87" s="23">
        <v>4</v>
      </c>
    </row>
    <row r="88" spans="1:6" ht="12.75">
      <c r="A88" s="7"/>
      <c r="C88" s="5" t="s">
        <v>255</v>
      </c>
      <c r="D88" s="5">
        <v>1</v>
      </c>
      <c r="E88" s="23">
        <v>0.2</v>
      </c>
      <c r="F88" s="23">
        <v>3.5</v>
      </c>
    </row>
    <row r="89" spans="1:6" ht="12.75">
      <c r="A89" s="7"/>
      <c r="C89" s="5" t="s">
        <v>256</v>
      </c>
      <c r="D89" s="5">
        <v>1</v>
      </c>
      <c r="E89" s="23"/>
      <c r="F89" s="23">
        <v>6</v>
      </c>
    </row>
    <row r="90" spans="1:2" ht="12.75">
      <c r="A90" s="7" t="s">
        <v>257</v>
      </c>
      <c r="B90" s="24">
        <f>(($D$92*Data_Cable_Cost)*Avg_Run_Length)+($D$92*RJ45_Jack_Cost)+($D$93*Faceplate_Cost)</f>
        <v>60</v>
      </c>
    </row>
    <row r="91" spans="1:4" ht="12.75">
      <c r="A91" s="7" t="s">
        <v>35</v>
      </c>
      <c r="B91" s="24">
        <f>(($D$92*Data_Cable_Cost)*Avg_Run_Length)+($D$92*RJ45_Jack_Cost)+($D$93*Faceplate_Cost)</f>
        <v>60</v>
      </c>
      <c r="C91" s="5" t="s">
        <v>253</v>
      </c>
      <c r="D91" s="5">
        <f>Avg_Run_Length</f>
        <v>200</v>
      </c>
    </row>
    <row r="92" spans="1:6" ht="12.75">
      <c r="A92" s="7" t="s">
        <v>36</v>
      </c>
      <c r="B92" s="24">
        <f>(D86*E88)+(F93*D93)+F88</f>
        <v>49.5</v>
      </c>
      <c r="C92" s="5" t="s">
        <v>254</v>
      </c>
      <c r="D92" s="5">
        <v>1</v>
      </c>
      <c r="E92" s="23">
        <v>0.25</v>
      </c>
      <c r="F92" s="23">
        <f>RJ45_Jack_Cost</f>
        <v>4</v>
      </c>
    </row>
    <row r="93" spans="1:6" ht="12.75">
      <c r="A93" s="7"/>
      <c r="B93" s="24"/>
      <c r="C93" s="5" t="s">
        <v>256</v>
      </c>
      <c r="D93" s="5">
        <v>1</v>
      </c>
      <c r="E93" s="23"/>
      <c r="F93" s="23">
        <v>6</v>
      </c>
    </row>
    <row r="94" spans="1:2" ht="12.75">
      <c r="A94" s="7" t="s">
        <v>258</v>
      </c>
      <c r="B94" s="24">
        <f>(($D$92*Data_Cable_Cost)*Avg_Run_Length)+($D$92*RJ45_Jack_Cost)+($D$93*Faceplate_Cost)</f>
        <v>60</v>
      </c>
    </row>
    <row r="95" spans="1:2" ht="12.75">
      <c r="A95" s="7" t="s">
        <v>38</v>
      </c>
      <c r="B95" s="24">
        <f>Data_Wiring_Run_Cost</f>
        <v>60</v>
      </c>
    </row>
    <row r="96" spans="1:5" ht="12.75">
      <c r="A96" s="7"/>
      <c r="B96" s="24"/>
      <c r="D96" s="5" t="s">
        <v>259</v>
      </c>
      <c r="E96" s="5" t="s">
        <v>260</v>
      </c>
    </row>
    <row r="97" spans="1:5" ht="12.75">
      <c r="A97" s="7"/>
      <c r="B97" s="24"/>
      <c r="C97" s="5" t="s">
        <v>261</v>
      </c>
      <c r="D97" s="4">
        <v>175</v>
      </c>
      <c r="E97" s="5">
        <v>1</v>
      </c>
    </row>
    <row r="98" spans="1:5" ht="12.75">
      <c r="A98" s="7"/>
      <c r="B98" s="24"/>
      <c r="C98" s="5" t="s">
        <v>262</v>
      </c>
      <c r="D98" s="4">
        <v>500</v>
      </c>
      <c r="E98" s="5">
        <v>2</v>
      </c>
    </row>
    <row r="99" spans="1:5" ht="12.75">
      <c r="A99" s="7"/>
      <c r="B99" s="24"/>
      <c r="C99" s="5" t="s">
        <v>263</v>
      </c>
      <c r="D99" s="4">
        <v>8</v>
      </c>
      <c r="E99" s="5">
        <v>96</v>
      </c>
    </row>
    <row r="100" spans="1:2" ht="12.75">
      <c r="A100" s="7" t="s">
        <v>40</v>
      </c>
      <c r="B100" s="4">
        <f>D97+(E98*D98)+(E99*D99)</f>
        <v>1943</v>
      </c>
    </row>
    <row r="101" spans="1:3" ht="12.75">
      <c r="A101" s="7" t="s">
        <v>264</v>
      </c>
      <c r="B101" s="4">
        <v>2000</v>
      </c>
      <c r="C101" s="5" t="s">
        <v>25</v>
      </c>
    </row>
    <row r="102" spans="1:3" ht="12.75">
      <c r="A102" s="7" t="s">
        <v>265</v>
      </c>
      <c r="B102" s="4">
        <f>1553/12</f>
        <v>129.41666666666666</v>
      </c>
      <c r="C102" s="5" t="s">
        <v>25</v>
      </c>
    </row>
    <row r="103" spans="1:3" ht="12.75">
      <c r="A103" s="7" t="s">
        <v>266</v>
      </c>
      <c r="B103" s="4">
        <f>1569/12</f>
        <v>130.75</v>
      </c>
      <c r="C103" s="5" t="s">
        <v>25</v>
      </c>
    </row>
    <row r="104" spans="1:3" ht="12.75">
      <c r="A104" s="7" t="s">
        <v>267</v>
      </c>
      <c r="B104" s="4">
        <v>3000</v>
      </c>
      <c r="C104" s="5" t="s">
        <v>25</v>
      </c>
    </row>
    <row r="105" spans="1:3" ht="12.75">
      <c r="A105" s="7" t="s">
        <v>268</v>
      </c>
      <c r="B105" s="4">
        <v>2100</v>
      </c>
      <c r="C105" s="5" t="s">
        <v>25</v>
      </c>
    </row>
    <row r="106" spans="1:3" ht="12.75">
      <c r="A106" s="7" t="s">
        <v>269</v>
      </c>
      <c r="B106" s="4">
        <v>1800</v>
      </c>
      <c r="C106" s="5" t="s">
        <v>25</v>
      </c>
    </row>
    <row r="107" spans="1:2" ht="12.75">
      <c r="A107" s="7" t="s">
        <v>270</v>
      </c>
      <c r="B107" s="4">
        <v>205</v>
      </c>
    </row>
    <row r="108" spans="1:3" ht="12.75">
      <c r="A108" s="7" t="s">
        <v>271</v>
      </c>
      <c r="B108" s="4">
        <v>1000</v>
      </c>
      <c r="C108" s="5" t="s">
        <v>272</v>
      </c>
    </row>
    <row r="109" spans="1:3" ht="12.75">
      <c r="A109" s="7" t="s">
        <v>273</v>
      </c>
      <c r="B109" s="4">
        <v>2500</v>
      </c>
      <c r="C109" s="5" t="s">
        <v>25</v>
      </c>
    </row>
    <row r="110" spans="1:3" ht="12.75">
      <c r="A110" s="7" t="s">
        <v>274</v>
      </c>
      <c r="B110" s="4">
        <v>3000</v>
      </c>
      <c r="C110" s="5" t="s">
        <v>25</v>
      </c>
    </row>
    <row r="111" spans="1:2" ht="12.75">
      <c r="A111" s="7" t="s">
        <v>275</v>
      </c>
      <c r="B111" s="4">
        <f>5000*1363/TNodes</f>
        <v>19.862317407948087</v>
      </c>
    </row>
    <row r="112" spans="1:2" ht="12.75">
      <c r="A112" s="7" t="s">
        <v>276</v>
      </c>
      <c r="B112" s="25">
        <f>10000*1363/TNodes</f>
        <v>39.724634815896174</v>
      </c>
    </row>
    <row r="113" spans="1:2" ht="12.75">
      <c r="A113" s="7" t="s">
        <v>277</v>
      </c>
      <c r="B113" s="4">
        <v>15000</v>
      </c>
    </row>
    <row r="114" spans="1:2" ht="12.75">
      <c r="A114" s="7" t="s">
        <v>278</v>
      </c>
      <c r="B114" s="4">
        <v>100</v>
      </c>
    </row>
    <row r="115" ht="20.25">
      <c r="A115" s="15" t="s">
        <v>86</v>
      </c>
    </row>
    <row r="116" spans="1:3" ht="12.75">
      <c r="A116" s="7" t="s">
        <v>279</v>
      </c>
      <c r="B116" s="4">
        <v>1920</v>
      </c>
      <c r="C116" s="5" t="s">
        <v>280</v>
      </c>
    </row>
    <row r="117" spans="1:2" ht="12.75">
      <c r="A117" s="7" t="s">
        <v>281</v>
      </c>
      <c r="B117" s="4">
        <v>7500</v>
      </c>
    </row>
    <row r="118" ht="20.25">
      <c r="A118" s="15" t="s">
        <v>282</v>
      </c>
    </row>
    <row r="119" spans="1:2" ht="12.75">
      <c r="A119" s="7" t="s">
        <v>283</v>
      </c>
      <c r="B119" s="4">
        <v>2050000</v>
      </c>
    </row>
    <row r="120" spans="1:2" ht="12.75">
      <c r="A120" s="7" t="s">
        <v>284</v>
      </c>
      <c r="B120" s="4">
        <v>0</v>
      </c>
    </row>
    <row r="121" ht="23.25">
      <c r="A121" s="17" t="s">
        <v>55</v>
      </c>
    </row>
    <row r="122" ht="20.25">
      <c r="A122" s="15" t="s">
        <v>153</v>
      </c>
    </row>
    <row r="123" spans="1:2" ht="12.75">
      <c r="A123" s="7" t="s">
        <v>285</v>
      </c>
      <c r="B123" s="4">
        <f>Staff_Workstation_Cost</f>
        <v>1283.4582761875</v>
      </c>
    </row>
    <row r="124" spans="1:2" ht="12.75">
      <c r="A124" s="7" t="s">
        <v>286</v>
      </c>
      <c r="B124" s="4">
        <f>Upgrade_Workstation_Cost</f>
        <v>300</v>
      </c>
    </row>
    <row r="125" spans="1:2" ht="12.75">
      <c r="A125" s="7" t="s">
        <v>287</v>
      </c>
      <c r="B125" s="4">
        <f>Dot_Matrix_Inkjet_Printer_Cost</f>
        <v>295.5512666666667</v>
      </c>
    </row>
    <row r="126" spans="1:6" ht="12.75">
      <c r="A126" s="7"/>
      <c r="D126" s="5" t="s">
        <v>232</v>
      </c>
      <c r="E126" s="5" t="s">
        <v>223</v>
      </c>
      <c r="F126" s="5" t="s">
        <v>196</v>
      </c>
    </row>
    <row r="127" spans="1:6" ht="12.75">
      <c r="A127" s="7"/>
      <c r="C127" s="5" t="s">
        <v>204</v>
      </c>
      <c r="D127" s="4">
        <v>3652</v>
      </c>
      <c r="E127" s="4">
        <v>2648</v>
      </c>
      <c r="F127" s="9">
        <v>2775</v>
      </c>
    </row>
    <row r="128" spans="1:2" ht="12.75">
      <c r="A128" s="7" t="s">
        <v>288</v>
      </c>
      <c r="B128" s="4">
        <f>AVERAGE(D127:F127)</f>
        <v>3025</v>
      </c>
    </row>
    <row r="129" spans="1:2" ht="12.75">
      <c r="A129" s="7" t="s">
        <v>289</v>
      </c>
      <c r="B129" s="4">
        <v>20000</v>
      </c>
    </row>
    <row r="130" spans="1:2" ht="12.75">
      <c r="A130" s="7" t="s">
        <v>290</v>
      </c>
      <c r="B130" s="4">
        <v>0</v>
      </c>
    </row>
    <row r="131" ht="20.25">
      <c r="A131" s="15" t="s">
        <v>51</v>
      </c>
    </row>
    <row r="132" spans="1:3" ht="12.75">
      <c r="A132" s="7" t="s">
        <v>291</v>
      </c>
      <c r="B132" s="4">
        <f>1937+36.5+36.5</f>
        <v>2010</v>
      </c>
      <c r="C132" s="5" t="s">
        <v>292</v>
      </c>
    </row>
    <row r="133" spans="1:2" ht="12.75">
      <c r="A133" s="7" t="s">
        <v>293</v>
      </c>
      <c r="B133" s="4">
        <v>17886</v>
      </c>
    </row>
    <row r="134" ht="20.25">
      <c r="A134" s="15" t="s">
        <v>210</v>
      </c>
    </row>
    <row r="135" spans="1:2" ht="12.75">
      <c r="A135" s="7" t="s">
        <v>294</v>
      </c>
      <c r="B135" s="4">
        <f>Enet_NIC_Cost</f>
        <v>63</v>
      </c>
    </row>
    <row r="136" spans="1:2" ht="12.75">
      <c r="A136" s="7" t="s">
        <v>295</v>
      </c>
      <c r="B136" s="4">
        <f>TR_NIC_Cost</f>
        <v>339.4171428571429</v>
      </c>
    </row>
    <row r="137" spans="1:2" ht="12.75">
      <c r="A137" s="7" t="s">
        <v>65</v>
      </c>
      <c r="B137" s="4">
        <f>Data_Wiring_Run_Cost</f>
        <v>60</v>
      </c>
    </row>
    <row r="138" spans="1:2" ht="12.75">
      <c r="A138" s="7" t="s">
        <v>66</v>
      </c>
      <c r="B138" s="4">
        <f>Wiring_Closet_Cost</f>
        <v>1943</v>
      </c>
    </row>
    <row r="139" spans="1:2" ht="12.75">
      <c r="A139" s="7" t="s">
        <v>296</v>
      </c>
      <c r="B139" s="4">
        <v>0</v>
      </c>
    </row>
    <row r="140" spans="1:2" ht="12.75">
      <c r="A140" s="7" t="s">
        <v>297</v>
      </c>
      <c r="B140" s="4">
        <f>1553/12</f>
        <v>129.41666666666666</v>
      </c>
    </row>
    <row r="141" spans="1:2" ht="12.75">
      <c r="A141" s="7" t="s">
        <v>298</v>
      </c>
      <c r="B141" s="4">
        <f>1569/12</f>
        <v>130.75</v>
      </c>
    </row>
    <row r="142" spans="1:2" ht="12.75">
      <c r="A142" s="7" t="s">
        <v>299</v>
      </c>
      <c r="B142" s="4">
        <v>0</v>
      </c>
    </row>
    <row r="143" spans="1:2" ht="12.75">
      <c r="A143" s="7" t="s">
        <v>300</v>
      </c>
      <c r="B143" s="4">
        <v>2000</v>
      </c>
    </row>
    <row r="144" spans="1:2" ht="12.75">
      <c r="A144" s="7" t="s">
        <v>301</v>
      </c>
      <c r="B144" s="4">
        <f>T1_DSU_Cost</f>
        <v>1800</v>
      </c>
    </row>
    <row r="145" spans="1:2" ht="12.75">
      <c r="A145" s="7" t="s">
        <v>302</v>
      </c>
      <c r="B145" s="4">
        <f>End_Router_Cost</f>
        <v>2100</v>
      </c>
    </row>
    <row r="146" spans="1:2" ht="12.75">
      <c r="A146" s="7" t="s">
        <v>303</v>
      </c>
      <c r="B146" s="4">
        <v>900</v>
      </c>
    </row>
    <row r="147" spans="1:2" ht="12.75">
      <c r="A147" s="7" t="s">
        <v>304</v>
      </c>
      <c r="B147" s="4">
        <v>400</v>
      </c>
    </row>
    <row r="148" spans="1:2" ht="12.75">
      <c r="A148" s="7" t="s">
        <v>305</v>
      </c>
      <c r="B148" s="4">
        <f>Asynch_Server_Cost</f>
        <v>2500</v>
      </c>
    </row>
    <row r="149" spans="1:2" ht="12.75">
      <c r="A149" s="7" t="s">
        <v>306</v>
      </c>
      <c r="B149" s="4">
        <f>Asynch_DSU_Cost</f>
        <v>3000</v>
      </c>
    </row>
    <row r="150" spans="1:2" ht="12.75">
      <c r="A150" s="7" t="s">
        <v>307</v>
      </c>
      <c r="B150" s="4">
        <f>5000*1363/TNodes</f>
        <v>19.862317407948087</v>
      </c>
    </row>
    <row r="151" spans="1:2" ht="12.75">
      <c r="A151" s="7" t="s">
        <v>308</v>
      </c>
      <c r="B151" s="25">
        <f>10000*1363/TNodes</f>
        <v>39.724634815896174</v>
      </c>
    </row>
    <row r="152" spans="1:2" ht="12.75">
      <c r="A152" s="7" t="s">
        <v>309</v>
      </c>
      <c r="B152" s="4">
        <v>0</v>
      </c>
    </row>
    <row r="153" ht="20.25">
      <c r="A153" s="15" t="s">
        <v>86</v>
      </c>
    </row>
    <row r="154" spans="1:3" ht="12.75">
      <c r="A154" s="7" t="s">
        <v>310</v>
      </c>
      <c r="B154" s="4">
        <v>900</v>
      </c>
      <c r="C154" s="5" t="s">
        <v>280</v>
      </c>
    </row>
    <row r="155" spans="1:2" ht="12.75">
      <c r="A155" s="7" t="s">
        <v>311</v>
      </c>
      <c r="B155" s="4">
        <f>Centrex_Monthly_Cost</f>
        <v>7500</v>
      </c>
    </row>
    <row r="156" ht="20.25">
      <c r="A156" s="15" t="s">
        <v>282</v>
      </c>
    </row>
    <row r="157" spans="1:2" ht="12.75">
      <c r="A157" s="7" t="s">
        <v>283</v>
      </c>
      <c r="B157" s="4">
        <v>0</v>
      </c>
    </row>
    <row r="158" spans="1:2" ht="12.75">
      <c r="A158" s="7" t="s">
        <v>284</v>
      </c>
      <c r="B158" s="4">
        <v>0</v>
      </c>
    </row>
    <row r="159" ht="23.25">
      <c r="A159" s="17" t="s">
        <v>312</v>
      </c>
    </row>
    <row r="160" ht="20.25">
      <c r="A160" s="15" t="s">
        <v>153</v>
      </c>
    </row>
    <row r="161" spans="1:2" ht="12.75">
      <c r="A161" s="7" t="s">
        <v>313</v>
      </c>
      <c r="B161" s="4">
        <f>Staff_Workstation_Cost</f>
        <v>1283.4582761875</v>
      </c>
    </row>
    <row r="162" spans="1:2" ht="12.75">
      <c r="A162" s="7" t="s">
        <v>314</v>
      </c>
      <c r="B162" s="4">
        <f>Dot_Matrix_Inkjet_Printer_Cost</f>
        <v>295.5512666666667</v>
      </c>
    </row>
    <row r="163" spans="1:2" ht="12.75">
      <c r="A163" s="7" t="s">
        <v>315</v>
      </c>
      <c r="B163" s="4">
        <f>Level_2_Laser_Printer_Cost</f>
        <v>1517.8977066666666</v>
      </c>
    </row>
    <row r="164" spans="1:2" ht="12.75">
      <c r="A164" s="7" t="s">
        <v>316</v>
      </c>
      <c r="B164" s="4">
        <v>20000</v>
      </c>
    </row>
    <row r="165" spans="1:2" ht="12.75">
      <c r="A165" s="7" t="s">
        <v>317</v>
      </c>
      <c r="B165" s="4">
        <f>Office_File_Server_Cost</f>
        <v>8000</v>
      </c>
    </row>
    <row r="166" ht="20.25">
      <c r="A166" s="15" t="s">
        <v>51</v>
      </c>
    </row>
    <row r="167" spans="1:2" ht="12.75">
      <c r="A167" s="7" t="s">
        <v>291</v>
      </c>
      <c r="B167" s="4">
        <f>Net_OS_Cost</f>
        <v>35</v>
      </c>
    </row>
    <row r="168" spans="1:2" ht="12.75">
      <c r="A168" s="7" t="s">
        <v>247</v>
      </c>
      <c r="B168" s="4">
        <f>SSMS_SW_Cost</f>
        <v>3250</v>
      </c>
    </row>
    <row r="169" spans="1:2" ht="12.75">
      <c r="A169" s="7" t="s">
        <v>209</v>
      </c>
      <c r="B169" s="4">
        <f>Instructional_SW_Cost</f>
        <v>65</v>
      </c>
    </row>
    <row r="170" spans="1:2" ht="12.75">
      <c r="A170" s="7" t="s">
        <v>293</v>
      </c>
      <c r="B170" s="4">
        <f>DAS_SW_Cost</f>
        <v>17886</v>
      </c>
    </row>
    <row r="171" ht="20.25">
      <c r="A171" s="15" t="s">
        <v>210</v>
      </c>
    </row>
    <row r="172" spans="1:2" ht="12.75">
      <c r="A172" s="7" t="s">
        <v>318</v>
      </c>
      <c r="B172" s="4">
        <f>Enet_NIC_Cost</f>
        <v>63</v>
      </c>
    </row>
    <row r="173" spans="1:2" ht="12.75">
      <c r="A173" s="7" t="s">
        <v>319</v>
      </c>
      <c r="B173" s="4">
        <f>TR_NIC_Cost</f>
        <v>339.4171428571429</v>
      </c>
    </row>
    <row r="174" spans="1:2" ht="12.75">
      <c r="A174" s="7" t="s">
        <v>320</v>
      </c>
      <c r="B174" s="4">
        <f>Data_Wiring_Run_Cost</f>
        <v>60</v>
      </c>
    </row>
    <row r="175" spans="1:17" s="1" customFormat="1" ht="12.75">
      <c r="A175" s="7" t="s">
        <v>321</v>
      </c>
      <c r="B175" s="25">
        <v>88</v>
      </c>
      <c r="C175" s="26"/>
      <c r="D175" s="2"/>
      <c r="E175" s="2"/>
      <c r="F175" s="2"/>
      <c r="G175" s="2"/>
      <c r="H175" s="2"/>
      <c r="I175" s="2"/>
      <c r="J175" s="2"/>
      <c r="K175" s="2"/>
      <c r="L175" s="2"/>
      <c r="M175" s="2"/>
      <c r="N175" s="2"/>
      <c r="O175" s="2"/>
      <c r="P175" s="2"/>
      <c r="Q175" s="2"/>
    </row>
    <row r="176" spans="1:17" s="1" customFormat="1" ht="12.75">
      <c r="A176" s="7" t="s">
        <v>322</v>
      </c>
      <c r="B176" s="25">
        <v>5</v>
      </c>
      <c r="C176" s="26"/>
      <c r="D176" s="2"/>
      <c r="E176" s="2"/>
      <c r="F176" s="2"/>
      <c r="G176" s="2"/>
      <c r="H176" s="2"/>
      <c r="I176" s="2"/>
      <c r="J176" s="2"/>
      <c r="K176" s="2"/>
      <c r="L176" s="2"/>
      <c r="M176" s="2"/>
      <c r="N176" s="2"/>
      <c r="O176" s="2"/>
      <c r="P176" s="2"/>
      <c r="Q176" s="2"/>
    </row>
    <row r="177" spans="1:2" ht="12.75">
      <c r="A177" s="7" t="s">
        <v>323</v>
      </c>
      <c r="B177" s="4">
        <f>Wiring_Closet_Cost</f>
        <v>1943</v>
      </c>
    </row>
    <row r="178" spans="1:2" ht="12.75">
      <c r="A178" s="7" t="s">
        <v>324</v>
      </c>
      <c r="B178" s="4">
        <f>Hub_Chassis_Cost</f>
        <v>2000</v>
      </c>
    </row>
    <row r="179" spans="1:2" ht="12.75">
      <c r="A179" s="7" t="s">
        <v>325</v>
      </c>
      <c r="B179" s="4">
        <f>Enet_Repeater_Cost</f>
        <v>129.41666666666666</v>
      </c>
    </row>
    <row r="180" spans="1:2" ht="12.75">
      <c r="A180" s="7" t="s">
        <v>326</v>
      </c>
      <c r="B180" s="4">
        <f>Bridge_Cost</f>
        <v>3000</v>
      </c>
    </row>
    <row r="181" spans="1:2" ht="12.75">
      <c r="A181" s="7" t="s">
        <v>327</v>
      </c>
      <c r="B181" s="4">
        <f>End_Router_Cost</f>
        <v>2100</v>
      </c>
    </row>
    <row r="182" spans="1:2" ht="12.75">
      <c r="A182" s="7" t="s">
        <v>328</v>
      </c>
      <c r="B182" s="4">
        <f>T1_DSU_Cost</f>
        <v>1800</v>
      </c>
    </row>
    <row r="183" spans="1:2" ht="12.75">
      <c r="A183" s="7" t="s">
        <v>329</v>
      </c>
      <c r="B183" s="4">
        <f>T1_Install_Cost</f>
        <v>1000</v>
      </c>
    </row>
    <row r="184" spans="1:2" ht="12.75">
      <c r="A184" s="7" t="s">
        <v>330</v>
      </c>
      <c r="B184" s="4">
        <f>Asynch_Server_Cost</f>
        <v>2500</v>
      </c>
    </row>
    <row r="185" spans="1:2" ht="12.75">
      <c r="A185" s="7" t="s">
        <v>331</v>
      </c>
      <c r="B185" s="4">
        <f>Asynch_DSU_Cost</f>
        <v>3000</v>
      </c>
    </row>
    <row r="186" spans="1:2" ht="12.75">
      <c r="A186" s="7" t="s">
        <v>332</v>
      </c>
      <c r="B186" s="4">
        <f>Wiring_Design_Cost</f>
        <v>19.862317407948087</v>
      </c>
    </row>
    <row r="187" spans="1:2" ht="12.75">
      <c r="A187" s="7" t="s">
        <v>333</v>
      </c>
      <c r="B187" s="4">
        <f>Wiring_Install_Cost</f>
        <v>39.724634815896174</v>
      </c>
    </row>
    <row r="188" ht="20.25">
      <c r="A188" s="6" t="s">
        <v>86</v>
      </c>
    </row>
    <row r="189" spans="1:2" ht="12.75">
      <c r="A189" s="7" t="s">
        <v>334</v>
      </c>
      <c r="B189" s="4">
        <f>T1_Monthly_Cost</f>
        <v>1920</v>
      </c>
    </row>
    <row r="190" ht="20.25">
      <c r="A190" s="15" t="s">
        <v>335</v>
      </c>
    </row>
    <row r="191" spans="1:2" ht="12.75">
      <c r="A191" s="7" t="s">
        <v>336</v>
      </c>
      <c r="B191" s="4">
        <v>0</v>
      </c>
    </row>
  </sheetData>
  <sheetProtection/>
  <printOptions/>
  <pageMargins left="0.08" right="0.17" top="1.23" bottom="0.32" header="0.5" footer="0.21"/>
  <pageSetup horizontalDpi="300" verticalDpi="300" orientation="landscape" scale="65" r:id="rId3"/>
  <headerFooter alignWithMargins="0">
    <oddHeader>&amp;C&amp;"Palatino,Bold"&amp;24Master Plan Budget
Line Item Costs&amp;R&amp;"Palatino,Bold" Page &amp;P</oddHeader>
  </headerFooter>
  <rowBreaks count="3" manualBreakCount="3">
    <brk id="23" max="65535" man="1"/>
    <brk id="120" max="65535" man="1"/>
    <brk id="158" max="65535" man="1"/>
  </rowBreaks>
  <legacyDrawing r:id="rId2"/>
</worksheet>
</file>

<file path=xl/worksheets/sheet7.xml><?xml version="1.0" encoding="utf-8"?>
<worksheet xmlns="http://schemas.openxmlformats.org/spreadsheetml/2006/main" xmlns:r="http://schemas.openxmlformats.org/officeDocument/2006/relationships">
  <dimension ref="A1:N253"/>
  <sheetViews>
    <sheetView zoomScale="83" zoomScaleNormal="83" zoomScaleSheetLayoutView="75" zoomScalePageLayoutView="0" workbookViewId="0" topLeftCell="A235">
      <selection activeCell="A251" sqref="A251"/>
    </sheetView>
  </sheetViews>
  <sheetFormatPr defaultColWidth="9.140625" defaultRowHeight="12.75"/>
  <cols>
    <col min="1" max="1" width="57.7109375" style="1" customWidth="1"/>
    <col min="2" max="3" width="12.57421875" style="28" customWidth="1"/>
    <col min="4" max="4" width="17.421875" style="781" customWidth="1"/>
    <col min="5" max="5" width="9.7109375" style="28" bestFit="1" customWidth="1"/>
    <col min="6" max="6" width="9.140625" style="1" customWidth="1"/>
    <col min="7" max="7" width="18.57421875" style="1" customWidth="1"/>
    <col min="8" max="8" width="9.28125" style="1" bestFit="1" customWidth="1"/>
    <col min="9" max="9" width="13.8515625" style="1" customWidth="1"/>
    <col min="10" max="11" width="11.140625" style="1" bestFit="1" customWidth="1"/>
    <col min="12" max="12" width="9.140625" style="1" customWidth="1"/>
    <col min="13" max="13" width="8.8515625" style="1" customWidth="1"/>
    <col min="14" max="16384" width="9.140625" style="1" customWidth="1"/>
  </cols>
  <sheetData>
    <row r="1" spans="1:14" ht="20.25">
      <c r="A1" s="27" t="s">
        <v>337</v>
      </c>
      <c r="B1" s="28" t="s">
        <v>1040</v>
      </c>
      <c r="C1" s="28" t="s">
        <v>717</v>
      </c>
      <c r="D1" s="781" t="s">
        <v>718</v>
      </c>
      <c r="F1" s="1" t="s">
        <v>338</v>
      </c>
      <c r="G1" s="1" t="s">
        <v>339</v>
      </c>
      <c r="H1" s="1" t="s">
        <v>340</v>
      </c>
      <c r="I1" s="1" t="s">
        <v>341</v>
      </c>
      <c r="J1" s="1" t="s">
        <v>342</v>
      </c>
      <c r="K1" s="1" t="s">
        <v>343</v>
      </c>
      <c r="L1" s="1" t="s">
        <v>344</v>
      </c>
      <c r="M1" s="1" t="s">
        <v>345</v>
      </c>
      <c r="N1" s="1" t="s">
        <v>346</v>
      </c>
    </row>
    <row r="2" spans="1:11" ht="25.5">
      <c r="A2" s="29" t="s">
        <v>347</v>
      </c>
      <c r="B2" s="861">
        <v>174</v>
      </c>
      <c r="C2" s="28">
        <v>177</v>
      </c>
      <c r="D2" s="858" t="s">
        <v>965</v>
      </c>
      <c r="F2" s="1" t="s">
        <v>348</v>
      </c>
      <c r="G2" s="1">
        <f>(183307089/560670447)</f>
        <v>0.32694266298647984</v>
      </c>
      <c r="H2" s="1">
        <v>0.4</v>
      </c>
      <c r="J2" s="1">
        <f>(G2*20000000)*2</f>
        <v>13077706.519459194</v>
      </c>
      <c r="K2" s="1">
        <f>(G2*30000000)*2</f>
        <v>19616559.77918879</v>
      </c>
    </row>
    <row r="3" spans="1:11" ht="140.25">
      <c r="A3" s="29" t="s">
        <v>349</v>
      </c>
      <c r="B3" s="861">
        <v>1247</v>
      </c>
      <c r="C3" s="28">
        <v>1372</v>
      </c>
      <c r="D3" s="858" t="s">
        <v>720</v>
      </c>
      <c r="E3" s="28">
        <f>B6/B3</f>
        <v>34.43384121892542</v>
      </c>
      <c r="F3" s="8" t="s">
        <v>25</v>
      </c>
      <c r="G3" s="1">
        <f>SUM(272681738+3969050+3461775)/560670447</f>
        <v>0.4996028674220455</v>
      </c>
      <c r="H3" s="1">
        <v>0.6</v>
      </c>
      <c r="J3" s="1">
        <f>(G3*20000000)*2</f>
        <v>19984114.69688182</v>
      </c>
      <c r="K3" s="1">
        <f>(G3*30000000)*2</f>
        <v>29976172.04532273</v>
      </c>
    </row>
    <row r="4" spans="1:11" ht="127.5">
      <c r="A4" s="29" t="s">
        <v>351</v>
      </c>
      <c r="B4" s="861">
        <v>44088</v>
      </c>
      <c r="C4" s="28">
        <v>42683</v>
      </c>
      <c r="D4" s="858" t="s">
        <v>966</v>
      </c>
      <c r="E4" s="28">
        <f>B4-B6</f>
        <v>1149</v>
      </c>
      <c r="F4" s="1" t="s">
        <v>352</v>
      </c>
      <c r="G4" s="1">
        <f>17244515/560670447</f>
        <v>0.03075695373685355</v>
      </c>
      <c r="H4" s="1">
        <v>0</v>
      </c>
      <c r="J4" s="1">
        <f>(G4*20000000)</f>
        <v>615139.0747370711</v>
      </c>
      <c r="K4" s="1">
        <f>(G4*30000000)</f>
        <v>922708.6121056065</v>
      </c>
    </row>
    <row r="5" spans="1:11" ht="12.75">
      <c r="A5" s="29" t="s">
        <v>353</v>
      </c>
      <c r="B5" s="861">
        <v>48559</v>
      </c>
      <c r="C5" s="532">
        <v>56962</v>
      </c>
      <c r="D5" s="859" t="s">
        <v>1305</v>
      </c>
      <c r="E5" s="28">
        <f>(B2*B17)+(B3*B16)</f>
        <v>7975</v>
      </c>
      <c r="F5" s="1" t="s">
        <v>354</v>
      </c>
      <c r="G5" s="1">
        <f>SUM(45020552+7726328)/560670447</f>
        <v>0.09407822417292488</v>
      </c>
      <c r="H5" s="1">
        <v>0</v>
      </c>
      <c r="J5" s="1">
        <f>(G5*20000000)</f>
        <v>1881564.4834584978</v>
      </c>
      <c r="K5" s="1">
        <f>(G5*30000000)</f>
        <v>2822346.7251877463</v>
      </c>
    </row>
    <row r="6" spans="1:5" ht="63.75">
      <c r="A6" s="29" t="s">
        <v>355</v>
      </c>
      <c r="B6" s="861">
        <v>42939</v>
      </c>
      <c r="C6" s="532">
        <v>37829</v>
      </c>
      <c r="D6" s="859" t="s">
        <v>1306</v>
      </c>
      <c r="E6" s="28">
        <f>B7/B6</f>
        <v>13.81441260858427</v>
      </c>
    </row>
    <row r="7" spans="1:7" ht="38.25">
      <c r="A7" s="29" t="s">
        <v>356</v>
      </c>
      <c r="B7" s="862">
        <v>593177.063</v>
      </c>
      <c r="C7" s="28">
        <v>580964</v>
      </c>
      <c r="D7" s="860" t="s">
        <v>1311</v>
      </c>
      <c r="E7" s="28">
        <f>(B7/B3)/B14</f>
        <v>158.56109676557068</v>
      </c>
      <c r="G7" s="1225">
        <v>647827</v>
      </c>
    </row>
    <row r="8" spans="1:7" ht="15">
      <c r="A8" s="33" t="s">
        <v>357</v>
      </c>
      <c r="B8" s="531">
        <f>$B$7/$B$14+$B$4+$E$72+$B$6+$B$6+$E$66+$E$84+$B$107+$E$63+$E$81+B3</f>
        <v>343112.0276666667</v>
      </c>
      <c r="C8" s="532"/>
      <c r="D8" s="782"/>
      <c r="G8" s="1226" t="s">
        <v>1307</v>
      </c>
    </row>
    <row r="9" spans="1:7" ht="15">
      <c r="A9" s="33" t="s">
        <v>357</v>
      </c>
      <c r="B9" s="531">
        <f>$B$7/$B$14+$B$4+$E$72+$B$6+$B$6+$E$66+$E$84+$B$107+$E$63+$E$81+B3</f>
        <v>343112.0276666667</v>
      </c>
      <c r="C9" s="532"/>
      <c r="D9" s="782"/>
      <c r="G9" s="1226"/>
    </row>
    <row r="10" spans="1:7" ht="15">
      <c r="A10" s="33" t="s">
        <v>358</v>
      </c>
      <c r="B10" s="531">
        <f>(B7/B14)+B4+E72+E66+B86+B107+$E$63+$E$81+B3</f>
        <v>257189.02766666666</v>
      </c>
      <c r="C10" s="532"/>
      <c r="D10" s="782"/>
      <c r="G10" s="1226">
        <v>617066.611</v>
      </c>
    </row>
    <row r="11" spans="1:7" ht="15">
      <c r="A11" s="33" t="s">
        <v>359</v>
      </c>
      <c r="B11" s="531">
        <f>($B$7/$B$14+$B$4+$E$72+$E$66+$E$84+$B$107+$E$63+$E$81+B3)+(0*($B$7/$B$14+$B$6+$E$72))</f>
        <v>257234.02766666666</v>
      </c>
      <c r="C11" s="532"/>
      <c r="D11" s="782"/>
      <c r="G11" s="1226" t="s">
        <v>1308</v>
      </c>
    </row>
    <row r="12" spans="1:7" ht="15">
      <c r="A12" s="33" t="s">
        <v>360</v>
      </c>
      <c r="B12" s="531">
        <f>($B$7/$B$14+$B$4+$E$72+$E$66+$E$84+$B$107+$E$63+$E$81+B3)+(0*($B$7/$B$14+$B$6+$E$72))+B6+B6</f>
        <v>343112.02766666666</v>
      </c>
      <c r="C12" s="532"/>
      <c r="D12" s="782"/>
      <c r="G12" s="1226" t="s">
        <v>1309</v>
      </c>
    </row>
    <row r="13" spans="1:7" ht="15">
      <c r="A13" s="33" t="s">
        <v>361</v>
      </c>
      <c r="B13" s="531">
        <f>(B7/B14)+B4+E72+B4+E72</f>
        <v>298647.6876666667</v>
      </c>
      <c r="C13" s="532"/>
      <c r="D13" s="782"/>
      <c r="G13" s="1227" t="s">
        <v>1310</v>
      </c>
    </row>
    <row r="14" spans="1:4" ht="12.75">
      <c r="A14" s="29" t="s">
        <v>362</v>
      </c>
      <c r="B14" s="532">
        <v>3</v>
      </c>
      <c r="C14" s="532"/>
      <c r="D14" s="783"/>
    </row>
    <row r="15" spans="1:4" ht="12.75">
      <c r="A15" s="29" t="s">
        <v>363</v>
      </c>
      <c r="B15" s="532">
        <v>1</v>
      </c>
      <c r="C15" s="532"/>
      <c r="D15" s="783"/>
    </row>
    <row r="16" spans="1:4" ht="12.75">
      <c r="A16" s="29" t="s">
        <v>364</v>
      </c>
      <c r="B16" s="532">
        <v>5</v>
      </c>
      <c r="C16" s="532"/>
      <c r="D16" s="783"/>
    </row>
    <row r="17" spans="1:4" ht="12.75">
      <c r="A17" s="29" t="s">
        <v>365</v>
      </c>
      <c r="B17" s="532">
        <v>10</v>
      </c>
      <c r="C17" s="532"/>
      <c r="D17" s="783"/>
    </row>
    <row r="18" spans="1:4" ht="12.75">
      <c r="A18" s="29" t="s">
        <v>366</v>
      </c>
      <c r="B18" s="533">
        <v>1</v>
      </c>
      <c r="C18" s="532"/>
      <c r="D18" s="784"/>
    </row>
    <row r="19" spans="1:4" ht="12.75">
      <c r="A19" s="29" t="s">
        <v>367</v>
      </c>
      <c r="B19" s="533">
        <f>1-B18</f>
        <v>0</v>
      </c>
      <c r="C19" s="532"/>
      <c r="D19" s="784"/>
    </row>
    <row r="20" spans="1:4" ht="12.75">
      <c r="A20" s="29" t="s">
        <v>368</v>
      </c>
      <c r="B20" s="533">
        <v>0.8</v>
      </c>
      <c r="C20" s="532"/>
      <c r="D20" s="784"/>
    </row>
    <row r="21" spans="1:4" ht="12.75">
      <c r="A21" s="29" t="s">
        <v>369</v>
      </c>
      <c r="B21" s="533">
        <v>0.2</v>
      </c>
      <c r="C21" s="532"/>
      <c r="D21" s="784"/>
    </row>
    <row r="22" spans="1:4" ht="12.75">
      <c r="A22" s="29" t="s">
        <v>370</v>
      </c>
      <c r="B22" s="531">
        <v>1.5</v>
      </c>
      <c r="C22" s="532"/>
      <c r="D22" s="782"/>
    </row>
    <row r="23" spans="1:4" ht="12.75">
      <c r="A23" s="29" t="s">
        <v>371</v>
      </c>
      <c r="B23" s="531">
        <v>0.5</v>
      </c>
      <c r="C23" s="532"/>
      <c r="D23" s="782"/>
    </row>
    <row r="24" spans="1:4" ht="12.75">
      <c r="A24" s="29" t="s">
        <v>372</v>
      </c>
      <c r="B24" s="531">
        <v>2</v>
      </c>
      <c r="C24" s="532"/>
      <c r="D24" s="782"/>
    </row>
    <row r="25" spans="1:4" ht="12.75">
      <c r="A25" s="29" t="s">
        <v>373</v>
      </c>
      <c r="B25" s="532">
        <v>5</v>
      </c>
      <c r="C25" s="532"/>
      <c r="D25" s="783"/>
    </row>
    <row r="26" spans="1:4" ht="12.75">
      <c r="A26" s="29" t="s">
        <v>374</v>
      </c>
      <c r="B26" s="532">
        <v>10</v>
      </c>
      <c r="C26" s="532"/>
      <c r="D26" s="783"/>
    </row>
    <row r="27" spans="1:4" ht="12.75">
      <c r="A27" s="29" t="s">
        <v>375</v>
      </c>
      <c r="B27" s="531">
        <v>2</v>
      </c>
      <c r="C27" s="532"/>
      <c r="D27" s="782"/>
    </row>
    <row r="28" spans="1:4" ht="12.75">
      <c r="A28" s="29"/>
      <c r="B28" s="531"/>
      <c r="C28" s="532"/>
      <c r="D28" s="782"/>
    </row>
    <row r="29" spans="1:4" ht="38.25">
      <c r="A29" s="33" t="s">
        <v>947</v>
      </c>
      <c r="B29" s="861">
        <v>102370</v>
      </c>
      <c r="C29" s="532">
        <v>108798</v>
      </c>
      <c r="D29" s="782" t="s">
        <v>967</v>
      </c>
    </row>
    <row r="30" spans="1:4" ht="25.5">
      <c r="A30" s="33" t="s">
        <v>699</v>
      </c>
      <c r="B30" s="862">
        <v>158</v>
      </c>
      <c r="C30" s="532">
        <v>278</v>
      </c>
      <c r="D30" s="782" t="s">
        <v>1312</v>
      </c>
    </row>
    <row r="31" spans="1:4" ht="38.25">
      <c r="A31" s="33" t="s">
        <v>700</v>
      </c>
      <c r="B31" s="531"/>
      <c r="C31" s="532">
        <v>30000</v>
      </c>
      <c r="D31" s="782" t="s">
        <v>701</v>
      </c>
    </row>
    <row r="32" spans="1:4" ht="38.25">
      <c r="A32" s="33" t="s">
        <v>702</v>
      </c>
      <c r="B32" s="531"/>
      <c r="C32" s="861">
        <v>51399</v>
      </c>
      <c r="D32" s="782" t="s">
        <v>701</v>
      </c>
    </row>
    <row r="33" spans="1:4" ht="38.25">
      <c r="A33" s="33" t="s">
        <v>703</v>
      </c>
      <c r="C33" s="788" t="s">
        <v>704</v>
      </c>
      <c r="D33" s="781" t="s">
        <v>705</v>
      </c>
    </row>
    <row r="34" ht="23.25">
      <c r="A34" s="18" t="s">
        <v>193</v>
      </c>
    </row>
    <row r="35" ht="20.25">
      <c r="A35" s="32" t="s">
        <v>153</v>
      </c>
    </row>
    <row r="36" spans="1:5" ht="12.75">
      <c r="A36" s="33" t="s">
        <v>376</v>
      </c>
      <c r="E36" s="30">
        <f>B7/B14</f>
        <v>197725.68766666666</v>
      </c>
    </row>
    <row r="37" spans="1:5" ht="12.75">
      <c r="A37" s="33" t="s">
        <v>377</v>
      </c>
      <c r="E37" s="28">
        <v>35944</v>
      </c>
    </row>
    <row r="38" spans="1:2" ht="12.75">
      <c r="A38" s="33" t="s">
        <v>206</v>
      </c>
      <c r="B38" s="28">
        <f>Planned_Student_Workstations-Existing_Student_Workstations</f>
        <v>161781.68766666666</v>
      </c>
    </row>
    <row r="39" spans="1:5" ht="12.75">
      <c r="A39" s="33" t="s">
        <v>377</v>
      </c>
      <c r="E39" s="28">
        <f>Existing_Student_Workstations</f>
        <v>35944</v>
      </c>
    </row>
    <row r="40" spans="1:5" ht="12.75">
      <c r="A40" s="33" t="s">
        <v>378</v>
      </c>
      <c r="E40" s="28">
        <v>0</v>
      </c>
    </row>
    <row r="41" spans="1:2" ht="12.75">
      <c r="A41" s="33" t="s">
        <v>207</v>
      </c>
      <c r="B41" s="28">
        <f>Existing_Student_Workstations-Complete_Student_Workstations</f>
        <v>35944</v>
      </c>
    </row>
    <row r="42" spans="1:2" ht="12.75">
      <c r="A42" s="33" t="s">
        <v>208</v>
      </c>
      <c r="B42" s="28">
        <v>1</v>
      </c>
    </row>
    <row r="43" spans="1:2" ht="12.75">
      <c r="A43" s="33" t="s">
        <v>19</v>
      </c>
      <c r="B43" s="28">
        <v>1</v>
      </c>
    </row>
    <row r="44" ht="20.25">
      <c r="A44" s="32" t="s">
        <v>51</v>
      </c>
    </row>
    <row r="45" spans="1:2" ht="12.75">
      <c r="A45" s="33" t="s">
        <v>209</v>
      </c>
      <c r="B45" s="28">
        <f>Number_of_Students/Student_Workstation_Ratio</f>
        <v>197725.68766666666</v>
      </c>
    </row>
    <row r="46" ht="20.25">
      <c r="A46" s="32" t="s">
        <v>210</v>
      </c>
    </row>
    <row r="47" spans="1:2" ht="12.75">
      <c r="A47" s="29" t="s">
        <v>216</v>
      </c>
      <c r="B47" s="28">
        <f>(New_Student_Workstations+Upgradable_Student_Workstations)*Enet_Percent</f>
        <v>197725.68766666666</v>
      </c>
    </row>
    <row r="48" spans="1:2" ht="12.75">
      <c r="A48" s="29" t="s">
        <v>218</v>
      </c>
      <c r="B48" s="28">
        <f>(New_Student_Workstations+Upgradable_Student_Workstations)*TR_Percent</f>
        <v>0</v>
      </c>
    </row>
    <row r="49" ht="20.25">
      <c r="A49" s="32" t="s">
        <v>86</v>
      </c>
    </row>
    <row r="50" spans="1:4" ht="12.75">
      <c r="A50" s="33" t="s">
        <v>88</v>
      </c>
      <c r="B50" s="31">
        <v>0.05</v>
      </c>
      <c r="D50" s="785"/>
    </row>
    <row r="51" spans="1:4" ht="12.75">
      <c r="A51" s="33" t="s">
        <v>379</v>
      </c>
      <c r="B51" s="31">
        <v>0.05</v>
      </c>
      <c r="D51" s="785"/>
    </row>
    <row r="52" ht="23.25">
      <c r="A52" s="18" t="s">
        <v>14</v>
      </c>
    </row>
    <row r="53" ht="20.25">
      <c r="A53" s="32" t="s">
        <v>153</v>
      </c>
    </row>
    <row r="54" spans="1:5" ht="12.75">
      <c r="A54" s="33" t="s">
        <v>380</v>
      </c>
      <c r="E54" s="28">
        <f>B4/Classroom_Workstation_Ratio</f>
        <v>44088</v>
      </c>
    </row>
    <row r="55" spans="1:5" ht="12.75">
      <c r="A55" s="33" t="s">
        <v>381</v>
      </c>
      <c r="E55" s="28">
        <v>5219</v>
      </c>
    </row>
    <row r="56" spans="1:2" ht="12.75">
      <c r="A56" s="33" t="s">
        <v>219</v>
      </c>
      <c r="B56" s="28">
        <f>Planned_Classroom_Workstations-Existing_Classroom_Workstations</f>
        <v>38869</v>
      </c>
    </row>
    <row r="57" spans="1:5" ht="12.75">
      <c r="A57" s="33" t="s">
        <v>381</v>
      </c>
      <c r="E57" s="28">
        <f>Existing_Classroom_Workstations</f>
        <v>5219</v>
      </c>
    </row>
    <row r="58" spans="1:5" ht="12.75">
      <c r="A58" s="33" t="s">
        <v>382</v>
      </c>
      <c r="E58" s="28">
        <v>0</v>
      </c>
    </row>
    <row r="59" spans="1:2" ht="12.75">
      <c r="A59" s="33" t="s">
        <v>383</v>
      </c>
      <c r="B59" s="28">
        <v>0</v>
      </c>
    </row>
    <row r="60" spans="1:5" ht="12.75">
      <c r="A60" s="33" t="s">
        <v>384</v>
      </c>
      <c r="E60" s="28">
        <f>Number_of_Classrooms</f>
        <v>42939</v>
      </c>
    </row>
    <row r="61" spans="1:5" ht="12.75">
      <c r="A61" s="33" t="s">
        <v>385</v>
      </c>
      <c r="E61" s="28">
        <v>10577</v>
      </c>
    </row>
    <row r="62" spans="1:2" ht="12.75">
      <c r="A62" s="33" t="s">
        <v>386</v>
      </c>
      <c r="B62" s="28">
        <f>Planned_Classroom_Dot_Matrix_Printers-Existing_Classroom_Dot_Matrix_Printers</f>
        <v>32362</v>
      </c>
    </row>
    <row r="63" spans="1:5" ht="12.75">
      <c r="A63" s="33" t="s">
        <v>387</v>
      </c>
      <c r="E63" s="28">
        <f>Number_of_Schools+(0.22*B3)</f>
        <v>1521.34</v>
      </c>
    </row>
    <row r="64" spans="1:5" ht="12.75">
      <c r="A64" s="33" t="s">
        <v>388</v>
      </c>
      <c r="E64" s="28">
        <v>1130</v>
      </c>
    </row>
    <row r="65" spans="1:2" ht="12.75">
      <c r="A65" s="33" t="s">
        <v>389</v>
      </c>
      <c r="B65" s="28">
        <f>Planned_Classroom_Laser_Printers-Existing_Classroom_Laser_Printers</f>
        <v>391.3399999999999</v>
      </c>
    </row>
    <row r="66" spans="1:5" ht="12.75">
      <c r="A66" s="33" t="s">
        <v>390</v>
      </c>
      <c r="E66" s="28">
        <f>'Complete Budget Sheet'!E12</f>
        <v>2494</v>
      </c>
    </row>
    <row r="67" spans="1:5" ht="12.75">
      <c r="A67" s="33" t="s">
        <v>391</v>
      </c>
      <c r="E67" s="28">
        <v>471</v>
      </c>
    </row>
    <row r="68" spans="1:2" ht="12.75">
      <c r="A68" s="33" t="s">
        <v>392</v>
      </c>
      <c r="B68" s="28">
        <f>Planned_Classroom_File_Servers-Existing_Classroom_File_Servers</f>
        <v>2023</v>
      </c>
    </row>
    <row r="69" spans="1:5" ht="12.75">
      <c r="A69" s="33" t="s">
        <v>393</v>
      </c>
      <c r="E69" s="28">
        <f>Number_of_Classrooms</f>
        <v>42939</v>
      </c>
    </row>
    <row r="70" spans="1:5" ht="12.75">
      <c r="A70" s="33" t="s">
        <v>396</v>
      </c>
      <c r="E70" s="28">
        <v>32922</v>
      </c>
    </row>
    <row r="71" spans="1:2" ht="12.75">
      <c r="A71" s="33" t="s">
        <v>397</v>
      </c>
      <c r="B71" s="28">
        <f>Planned_TV_Monitors-Existing_TV_Monitors</f>
        <v>10017</v>
      </c>
    </row>
    <row r="72" spans="1:5" ht="12.75">
      <c r="A72" s="33" t="s">
        <v>398</v>
      </c>
      <c r="E72" s="28">
        <f>(Number_of_Schools*Workstation_School_Office_Ratio)+B235</f>
        <v>6373</v>
      </c>
    </row>
    <row r="73" spans="1:5" ht="12.75">
      <c r="A73" s="33" t="s">
        <v>399</v>
      </c>
      <c r="E73" s="28">
        <v>1729</v>
      </c>
    </row>
    <row r="74" spans="1:2" ht="12.75">
      <c r="A74" s="33" t="s">
        <v>237</v>
      </c>
      <c r="B74" s="28">
        <f>Planned_School_Staff_Workstations-Existing_School_Staff_Workstations</f>
        <v>4644</v>
      </c>
    </row>
    <row r="75" spans="1:5" ht="12.75">
      <c r="A75" s="33" t="s">
        <v>399</v>
      </c>
      <c r="E75" s="28">
        <f>Existing_School_Staff_Workstations</f>
        <v>1729</v>
      </c>
    </row>
    <row r="76" spans="1:5" ht="12.75">
      <c r="A76" s="33" t="s">
        <v>400</v>
      </c>
      <c r="E76" s="28">
        <v>0</v>
      </c>
    </row>
    <row r="77" spans="1:2" ht="12.75">
      <c r="A77" s="33" t="s">
        <v>401</v>
      </c>
      <c r="B77" s="28">
        <f>Existing_School_Staff_Workstations-Complete_School_Staff_Workstations</f>
        <v>1729</v>
      </c>
    </row>
    <row r="78" spans="1:5" ht="12.75">
      <c r="A78" s="33" t="s">
        <v>402</v>
      </c>
      <c r="E78" s="28">
        <f>Number_of_Schools</f>
        <v>1247</v>
      </c>
    </row>
    <row r="79" spans="1:5" ht="12.75">
      <c r="A79" s="33" t="s">
        <v>403</v>
      </c>
      <c r="E79" s="28">
        <v>977</v>
      </c>
    </row>
    <row r="80" spans="1:2" ht="12.75">
      <c r="A80" s="33" t="s">
        <v>404</v>
      </c>
      <c r="B80" s="28">
        <f>Planned_School_Staff_Dot_Matrix_Printers-Existing_School_Staff_Dot_Matrix_Printers</f>
        <v>270</v>
      </c>
    </row>
    <row r="81" spans="1:5" ht="12.75">
      <c r="A81" s="33" t="s">
        <v>405</v>
      </c>
      <c r="E81" s="28">
        <f>Number_of_Schools</f>
        <v>1247</v>
      </c>
    </row>
    <row r="82" spans="1:5" ht="12.75">
      <c r="A82" s="33" t="s">
        <v>406</v>
      </c>
      <c r="E82" s="28">
        <v>543</v>
      </c>
    </row>
    <row r="83" spans="1:2" ht="12.75">
      <c r="A83" s="33" t="s">
        <v>407</v>
      </c>
      <c r="B83" s="28">
        <f>Planned_School_Staff_Laser_Printers-Existing_School_Staff_Laser_Printers</f>
        <v>704</v>
      </c>
    </row>
    <row r="84" spans="1:5" ht="12.75">
      <c r="A84" s="33" t="s">
        <v>408</v>
      </c>
      <c r="E84" s="28">
        <f>Number_of_Schools</f>
        <v>1247</v>
      </c>
    </row>
    <row r="85" spans="1:5" ht="12.75">
      <c r="A85" s="33" t="s">
        <v>409</v>
      </c>
      <c r="E85" s="28">
        <v>45</v>
      </c>
    </row>
    <row r="86" spans="1:2" ht="12.75">
      <c r="A86" s="33" t="s">
        <v>410</v>
      </c>
      <c r="B86" s="28">
        <f>Planned_School_File_Appl_Servers-Existing_School_File_Appl_Servers</f>
        <v>1202</v>
      </c>
    </row>
    <row r="87" ht="20.25">
      <c r="A87" s="32" t="s">
        <v>51</v>
      </c>
    </row>
    <row r="88" spans="1:2" ht="12.75">
      <c r="A88" s="33" t="s">
        <v>291</v>
      </c>
      <c r="B88" s="28">
        <v>2726</v>
      </c>
    </row>
    <row r="89" spans="1:2" ht="12.75">
      <c r="A89" s="33" t="s">
        <v>247</v>
      </c>
      <c r="B89" s="28">
        <f>Number_of_Schools</f>
        <v>1247</v>
      </c>
    </row>
    <row r="90" ht="20.25">
      <c r="A90" s="32" t="s">
        <v>210</v>
      </c>
    </row>
    <row r="91" spans="1:2" ht="12.75">
      <c r="A91" s="29" t="s">
        <v>249</v>
      </c>
      <c r="B91" s="28">
        <f>(B4+Upgradable_Classroom_Workstations)*Enet_Percent</f>
        <v>44088</v>
      </c>
    </row>
    <row r="92" spans="1:2" ht="12.75">
      <c r="A92" s="29" t="s">
        <v>250</v>
      </c>
      <c r="B92" s="28">
        <f>(New_Classroom_Workstations+Upgradable_Classroom_Workstations)*TR_Percent</f>
        <v>0</v>
      </c>
    </row>
    <row r="93" spans="1:2" ht="12.75">
      <c r="A93" s="29" t="s">
        <v>251</v>
      </c>
      <c r="B93" s="28">
        <f>(New_School_Staff_Workstations+Upgradable_School_Staff_Workstations)*Enet_Percent</f>
        <v>6373</v>
      </c>
    </row>
    <row r="94" spans="1:2" ht="12.75">
      <c r="A94" s="29" t="s">
        <v>252</v>
      </c>
      <c r="B94" s="28">
        <f>(New_School_Staff_Workstations+Upgradable_School_Staff_Workstations+1363)*TR_Percent</f>
        <v>0</v>
      </c>
    </row>
    <row r="95" spans="1:2" ht="12.75">
      <c r="A95" s="29" t="s">
        <v>411</v>
      </c>
      <c r="B95" s="28">
        <f>B4+(B4*0.5)</f>
        <v>66132</v>
      </c>
    </row>
    <row r="96" spans="1:2" ht="12.75">
      <c r="A96" s="29" t="s">
        <v>258</v>
      </c>
      <c r="B96" s="28">
        <f>B7/6+(B7/6*0.5)</f>
        <v>148294.26575</v>
      </c>
    </row>
    <row r="97" spans="1:2" ht="12.75">
      <c r="A97" s="29" t="s">
        <v>38</v>
      </c>
      <c r="B97" s="28">
        <f>Number_of_Schools*Wiring_Runs_School_Office_Ratio</f>
        <v>6235</v>
      </c>
    </row>
    <row r="98" spans="1:2" ht="12.75">
      <c r="A98" s="29" t="s">
        <v>40</v>
      </c>
      <c r="B98" s="28">
        <f>(Number_of_Schools*Wiring_Closet_School_Ratio)+B236</f>
        <v>1914.5</v>
      </c>
    </row>
    <row r="99" spans="1:2" ht="12.75">
      <c r="A99" s="29" t="s">
        <v>264</v>
      </c>
      <c r="B99" s="28">
        <v>2726</v>
      </c>
    </row>
    <row r="100" spans="1:2" ht="12.75">
      <c r="A100" s="29" t="s">
        <v>265</v>
      </c>
      <c r="B100" s="28">
        <f>E36/12*B18</f>
        <v>16477.14063888889</v>
      </c>
    </row>
    <row r="101" spans="1:2" ht="12.75">
      <c r="A101" s="29" t="s">
        <v>266</v>
      </c>
      <c r="B101" s="28">
        <f>E36/12*B19</f>
        <v>0</v>
      </c>
    </row>
    <row r="102" spans="1:2" ht="12.75">
      <c r="A102" s="29" t="s">
        <v>267</v>
      </c>
      <c r="B102" s="28">
        <v>340</v>
      </c>
    </row>
    <row r="103" spans="1:2" ht="12.75">
      <c r="A103" s="29" t="s">
        <v>268</v>
      </c>
      <c r="B103" s="28">
        <f>Number_of_Schools+B236</f>
        <v>1291</v>
      </c>
    </row>
    <row r="104" spans="1:2" ht="12.75">
      <c r="A104" s="29" t="s">
        <v>269</v>
      </c>
      <c r="B104" s="28">
        <f>Number_of_Schools+B236</f>
        <v>1291</v>
      </c>
    </row>
    <row r="105" spans="1:2" ht="12.75">
      <c r="A105" s="29" t="s">
        <v>412</v>
      </c>
      <c r="B105" s="28">
        <f>B3*2</f>
        <v>2494</v>
      </c>
    </row>
    <row r="106" spans="1:2" ht="12.75">
      <c r="A106" s="29" t="s">
        <v>271</v>
      </c>
      <c r="B106" s="28">
        <f>Number_of_Schools+B236</f>
        <v>1291</v>
      </c>
    </row>
    <row r="107" spans="1:2" ht="12.75">
      <c r="A107" s="33" t="s">
        <v>273</v>
      </c>
      <c r="B107" s="28">
        <f>Number_of_Schools+B236</f>
        <v>1291</v>
      </c>
    </row>
    <row r="108" spans="1:2" ht="12.75">
      <c r="A108" s="29" t="s">
        <v>413</v>
      </c>
      <c r="B108" s="28">
        <f>$B$99</f>
        <v>2726</v>
      </c>
    </row>
    <row r="109" spans="1:2" ht="12.75">
      <c r="A109" s="29" t="s">
        <v>275</v>
      </c>
      <c r="B109" s="28">
        <f>Number_of_Schools</f>
        <v>1247</v>
      </c>
    </row>
    <row r="110" spans="1:2" ht="12.75">
      <c r="A110" s="29" t="s">
        <v>276</v>
      </c>
      <c r="B110" s="28">
        <f>Number_of_Schools</f>
        <v>1247</v>
      </c>
    </row>
    <row r="111" spans="1:2" ht="12.75">
      <c r="A111" s="29" t="s">
        <v>277</v>
      </c>
      <c r="B111" s="28">
        <f>Number_of_Schools*PBX_Percent</f>
        <v>997.6</v>
      </c>
    </row>
    <row r="112" spans="1:2" ht="15">
      <c r="A112" s="53" t="s">
        <v>414</v>
      </c>
      <c r="B112" s="28">
        <f>B3+B236</f>
        <v>1291</v>
      </c>
    </row>
    <row r="113" spans="1:5" ht="12.75">
      <c r="A113" s="29" t="s">
        <v>415</v>
      </c>
      <c r="B113" s="28">
        <f>Number_of_Classrooms</f>
        <v>42939</v>
      </c>
      <c r="E113" s="28">
        <f>Number_of_Classrooms</f>
        <v>42939</v>
      </c>
    </row>
    <row r="114" spans="1:5" ht="12.75">
      <c r="A114" s="29" t="s">
        <v>416</v>
      </c>
      <c r="B114" s="28">
        <v>3649</v>
      </c>
      <c r="E114" s="28">
        <v>3649</v>
      </c>
    </row>
    <row r="115" spans="1:2" ht="15">
      <c r="A115" s="53" t="s">
        <v>236</v>
      </c>
      <c r="B115" s="28">
        <f>B6</f>
        <v>42939</v>
      </c>
    </row>
    <row r="116" spans="1:2" ht="12.75">
      <c r="A116" s="29" t="s">
        <v>417</v>
      </c>
      <c r="B116" s="28">
        <f>Planned_Classroom_Phones-Existing_Classroom_Phones</f>
        <v>39290</v>
      </c>
    </row>
    <row r="117" ht="20.25">
      <c r="A117" s="32" t="s">
        <v>86</v>
      </c>
    </row>
    <row r="118" spans="1:4" ht="12.75">
      <c r="A118" s="33" t="s">
        <v>418</v>
      </c>
      <c r="B118" s="31">
        <f>Standard_HW_Maintenance_Percent</f>
        <v>0.05</v>
      </c>
      <c r="D118" s="785"/>
    </row>
    <row r="119" spans="1:4" ht="12.75">
      <c r="A119" s="33" t="s">
        <v>419</v>
      </c>
      <c r="B119" s="31">
        <f>Standard_SW_Maintenance_Percent</f>
        <v>0.05</v>
      </c>
      <c r="D119" s="785"/>
    </row>
    <row r="120" spans="1:4" ht="12.75">
      <c r="A120" s="33" t="s">
        <v>420</v>
      </c>
      <c r="B120" s="31">
        <v>0.05</v>
      </c>
      <c r="D120" s="785"/>
    </row>
    <row r="121" spans="1:2" ht="12.75">
      <c r="A121" s="33" t="s">
        <v>279</v>
      </c>
      <c r="B121" s="28">
        <f>Number_of_Schools</f>
        <v>1247</v>
      </c>
    </row>
    <row r="122" spans="1:2" ht="12.75">
      <c r="A122" s="33" t="s">
        <v>281</v>
      </c>
      <c r="B122" s="28">
        <f>Number_of_Schools*Centrex_Percent</f>
        <v>249.4</v>
      </c>
    </row>
    <row r="123" ht="20.25">
      <c r="A123" s="32" t="s">
        <v>282</v>
      </c>
    </row>
    <row r="124" spans="1:2" ht="12.75">
      <c r="A124" s="33" t="s">
        <v>283</v>
      </c>
      <c r="B124" s="28">
        <v>6</v>
      </c>
    </row>
    <row r="125" spans="1:2" ht="12.75">
      <c r="A125" s="33" t="s">
        <v>284</v>
      </c>
      <c r="B125" s="28">
        <v>1</v>
      </c>
    </row>
    <row r="126" ht="22.5">
      <c r="A126" s="18" t="s">
        <v>55</v>
      </c>
    </row>
    <row r="127" ht="20.25">
      <c r="A127" s="32" t="s">
        <v>153</v>
      </c>
    </row>
    <row r="128" spans="1:5" ht="12.75">
      <c r="A128" s="33" t="s">
        <v>421</v>
      </c>
      <c r="E128" s="28">
        <f>Number_of_Districts*Workstation_District_Office_Ratio</f>
        <v>1740</v>
      </c>
    </row>
    <row r="129" spans="1:5" ht="12.75">
      <c r="A129" s="33" t="s">
        <v>422</v>
      </c>
      <c r="E129" s="28">
        <v>200</v>
      </c>
    </row>
    <row r="130" spans="1:2" ht="12.75">
      <c r="A130" s="33" t="s">
        <v>423</v>
      </c>
      <c r="B130" s="28">
        <f>Planned_District_Office_Workstations-Existing_District_Office_Workstations</f>
        <v>1540</v>
      </c>
    </row>
    <row r="131" spans="1:5" ht="12.75">
      <c r="A131" s="33" t="s">
        <v>422</v>
      </c>
      <c r="E131" s="28">
        <f>Existing_District_Office_Workstations</f>
        <v>200</v>
      </c>
    </row>
    <row r="132" spans="1:5" ht="12.75">
      <c r="A132" s="33" t="s">
        <v>424</v>
      </c>
      <c r="E132" s="28">
        <v>0</v>
      </c>
    </row>
    <row r="133" spans="1:2" ht="12.75">
      <c r="A133" s="33" t="s">
        <v>425</v>
      </c>
      <c r="B133" s="28">
        <f>Existing_District_Office_Workstations-Complete_District_Office_Workstations</f>
        <v>200</v>
      </c>
    </row>
    <row r="134" spans="1:5" ht="12.75">
      <c r="A134" s="33" t="s">
        <v>426</v>
      </c>
      <c r="E134" s="28">
        <f>Number_of_Districts</f>
        <v>174</v>
      </c>
    </row>
    <row r="135" spans="1:5" ht="12.75">
      <c r="A135" s="33" t="s">
        <v>427</v>
      </c>
      <c r="E135" s="28">
        <v>0</v>
      </c>
    </row>
    <row r="136" spans="1:2" ht="12.75">
      <c r="A136" s="33" t="s">
        <v>428</v>
      </c>
      <c r="B136" s="28">
        <f>Planned_District_Office_Dot_Matrix_Printers-Existing_District_Office_Dot_Matrix_Printers</f>
        <v>174</v>
      </c>
    </row>
    <row r="137" spans="1:5" ht="12.75">
      <c r="A137" s="33" t="s">
        <v>429</v>
      </c>
      <c r="E137" s="28">
        <f>Number_of_Districts</f>
        <v>174</v>
      </c>
    </row>
    <row r="138" spans="1:5" ht="12.75">
      <c r="A138" s="33" t="s">
        <v>430</v>
      </c>
      <c r="E138" s="28">
        <v>0</v>
      </c>
    </row>
    <row r="139" spans="1:2" ht="12.75">
      <c r="A139" s="33" t="s">
        <v>431</v>
      </c>
      <c r="B139" s="28">
        <f>Planned_District_Office_Laser_Printers-Existing_District_Office_Laser_Printers</f>
        <v>174</v>
      </c>
    </row>
    <row r="140" spans="1:5" ht="12.75">
      <c r="A140" s="33" t="s">
        <v>432</v>
      </c>
      <c r="E140" s="28">
        <f>Number_of_Districts</f>
        <v>174</v>
      </c>
    </row>
    <row r="141" spans="1:5" ht="12.75">
      <c r="A141" s="33" t="s">
        <v>433</v>
      </c>
      <c r="E141" s="28">
        <v>0</v>
      </c>
    </row>
    <row r="142" spans="1:2" ht="12.75">
      <c r="A142" s="33" t="s">
        <v>434</v>
      </c>
      <c r="B142" s="28">
        <f>Planned_District_Office_File_Servers-Existing_District_Office_File_Servers</f>
        <v>174</v>
      </c>
    </row>
    <row r="143" spans="1:5" ht="12.75">
      <c r="A143" s="33" t="s">
        <v>435</v>
      </c>
      <c r="E143" s="28">
        <v>0</v>
      </c>
    </row>
    <row r="144" spans="1:5" ht="12.75">
      <c r="A144" s="33" t="s">
        <v>436</v>
      </c>
      <c r="E144" s="28">
        <v>0</v>
      </c>
    </row>
    <row r="145" spans="1:2" ht="12.75">
      <c r="A145" s="33" t="s">
        <v>437</v>
      </c>
      <c r="B145" s="28">
        <f>Planned_District_Office_Application_Servers-Existing_District_Office_Application_Servers</f>
        <v>0</v>
      </c>
    </row>
    <row r="146" ht="20.25">
      <c r="A146" s="32" t="s">
        <v>51</v>
      </c>
    </row>
    <row r="147" spans="1:2" ht="12.75">
      <c r="A147" s="33" t="s">
        <v>291</v>
      </c>
      <c r="B147" s="28">
        <f>New_District_Office_File_Servers+New_District_Office_Application_Servers</f>
        <v>174</v>
      </c>
    </row>
    <row r="148" spans="1:2" ht="12.75">
      <c r="A148" s="33" t="s">
        <v>293</v>
      </c>
      <c r="B148" s="28">
        <f>New_District_Office_File_Servers</f>
        <v>174</v>
      </c>
    </row>
    <row r="149" ht="20.25">
      <c r="A149" s="32" t="s">
        <v>210</v>
      </c>
    </row>
    <row r="150" spans="1:2" ht="12.75">
      <c r="A150" s="29" t="s">
        <v>438</v>
      </c>
      <c r="B150" s="28">
        <v>705</v>
      </c>
    </row>
    <row r="151" spans="1:2" ht="12.75">
      <c r="A151" s="29" t="s">
        <v>295</v>
      </c>
      <c r="B151" s="28">
        <f>(New_District_Office_Workstations+Upgradable_District_Office_Workstations)*TR_Percent</f>
        <v>0</v>
      </c>
    </row>
    <row r="152" spans="1:2" ht="12.75">
      <c r="A152" s="29" t="s">
        <v>65</v>
      </c>
      <c r="B152" s="28">
        <f>Number_of_Districts*Wiring_Runs_District_Office_Ratio</f>
        <v>1740</v>
      </c>
    </row>
    <row r="153" spans="1:2" ht="12.75">
      <c r="A153" s="29" t="s">
        <v>66</v>
      </c>
      <c r="B153" s="28">
        <f>Number_of_Districts</f>
        <v>174</v>
      </c>
    </row>
    <row r="154" spans="1:2" ht="12.75">
      <c r="A154" s="29" t="s">
        <v>296</v>
      </c>
      <c r="B154" s="28">
        <v>0</v>
      </c>
    </row>
    <row r="155" spans="1:2" ht="12.75">
      <c r="A155" s="29" t="s">
        <v>297</v>
      </c>
      <c r="B155" s="28">
        <f>176*B18</f>
        <v>176</v>
      </c>
    </row>
    <row r="156" spans="1:2" ht="12.75">
      <c r="A156" s="29" t="s">
        <v>298</v>
      </c>
      <c r="B156" s="28">
        <f>176*B19</f>
        <v>0</v>
      </c>
    </row>
    <row r="157" spans="1:2" ht="12.75">
      <c r="A157" s="29" t="s">
        <v>299</v>
      </c>
      <c r="B157" s="28">
        <v>0</v>
      </c>
    </row>
    <row r="158" spans="1:2" ht="12.75">
      <c r="A158" s="29" t="s">
        <v>300</v>
      </c>
      <c r="B158" s="28">
        <f>Number_of_Districts</f>
        <v>174</v>
      </c>
    </row>
    <row r="159" spans="1:2" ht="12.75">
      <c r="A159" s="29" t="s">
        <v>301</v>
      </c>
      <c r="B159" s="28">
        <f>Number_of_Schools</f>
        <v>1247</v>
      </c>
    </row>
    <row r="160" spans="1:2" ht="12.75">
      <c r="A160" s="29" t="s">
        <v>302</v>
      </c>
      <c r="B160" s="28">
        <v>0</v>
      </c>
    </row>
    <row r="161" spans="1:2" ht="12.75">
      <c r="A161" s="29" t="s">
        <v>303</v>
      </c>
      <c r="B161" s="28">
        <f>Number_of_Districts</f>
        <v>174</v>
      </c>
    </row>
    <row r="162" spans="1:2" ht="12.75">
      <c r="A162" s="29" t="s">
        <v>304</v>
      </c>
      <c r="B162" s="28">
        <f>Number_of_Districts</f>
        <v>174</v>
      </c>
    </row>
    <row r="163" spans="1:2" ht="12.75">
      <c r="A163" s="29" t="s">
        <v>305</v>
      </c>
      <c r="B163" s="28">
        <f>Number_of_Districts</f>
        <v>174</v>
      </c>
    </row>
    <row r="164" spans="1:2" ht="12.75">
      <c r="A164" s="29" t="s">
        <v>306</v>
      </c>
      <c r="B164" s="28">
        <f>Number_of_Districts*Asynch_Lines_District_Office_Ratio</f>
        <v>348</v>
      </c>
    </row>
    <row r="165" spans="1:2" ht="12.75">
      <c r="A165" s="29" t="s">
        <v>307</v>
      </c>
      <c r="B165" s="28">
        <f>Number_of_Districts</f>
        <v>174</v>
      </c>
    </row>
    <row r="166" spans="1:2" ht="12.75">
      <c r="A166" s="29" t="s">
        <v>308</v>
      </c>
      <c r="B166" s="28">
        <f>Number_of_Districts</f>
        <v>174</v>
      </c>
    </row>
    <row r="167" spans="1:2" ht="12.75">
      <c r="A167" s="29" t="s">
        <v>309</v>
      </c>
      <c r="B167" s="28">
        <v>0</v>
      </c>
    </row>
    <row r="168" ht="20.25">
      <c r="A168" s="32" t="s">
        <v>86</v>
      </c>
    </row>
    <row r="169" spans="1:4" ht="12.75">
      <c r="A169" s="33" t="s">
        <v>91</v>
      </c>
      <c r="B169" s="31">
        <f>Standard_HW_Maintenance_Percent</f>
        <v>0.05</v>
      </c>
      <c r="D169" s="785"/>
    </row>
    <row r="170" spans="1:4" ht="12.75">
      <c r="A170" s="33" t="s">
        <v>91</v>
      </c>
      <c r="B170" s="31">
        <f>Standard_HW_Maintenance_Percent</f>
        <v>0.05</v>
      </c>
      <c r="D170" s="785"/>
    </row>
    <row r="171" spans="1:4" ht="12.75">
      <c r="A171" s="33" t="s">
        <v>439</v>
      </c>
      <c r="B171" s="31">
        <f>Standard_SW_Maintenance_Percent</f>
        <v>0.05</v>
      </c>
      <c r="D171" s="785"/>
    </row>
    <row r="172" spans="1:4" ht="12.75">
      <c r="A172" s="33" t="s">
        <v>439</v>
      </c>
      <c r="B172" s="31">
        <f>Standard_SW_Maintenance_Percent</f>
        <v>0.05</v>
      </c>
      <c r="D172" s="785"/>
    </row>
    <row r="173" spans="1:4" ht="12.75">
      <c r="A173" s="33" t="s">
        <v>92</v>
      </c>
      <c r="B173" s="31">
        <f>Standard_NW_Maintenance_Percent</f>
        <v>0.05</v>
      </c>
      <c r="D173" s="785"/>
    </row>
    <row r="174" spans="1:2" ht="12.75">
      <c r="A174" s="33" t="s">
        <v>310</v>
      </c>
      <c r="B174" s="28">
        <f>Number_of_Districts</f>
        <v>174</v>
      </c>
    </row>
    <row r="175" spans="1:2" ht="12.75">
      <c r="A175" s="33" t="s">
        <v>311</v>
      </c>
      <c r="B175" s="28">
        <v>0</v>
      </c>
    </row>
    <row r="176" ht="20.25">
      <c r="A176" s="32" t="s">
        <v>282</v>
      </c>
    </row>
    <row r="177" ht="12.75">
      <c r="A177" s="33" t="s">
        <v>283</v>
      </c>
    </row>
    <row r="178" ht="12.75">
      <c r="A178" s="33" t="s">
        <v>284</v>
      </c>
    </row>
    <row r="179" ht="22.5">
      <c r="A179" s="18" t="s">
        <v>312</v>
      </c>
    </row>
    <row r="180" ht="20.25">
      <c r="A180" s="32" t="s">
        <v>153</v>
      </c>
    </row>
    <row r="181" spans="1:5" ht="12.75">
      <c r="A181" s="33" t="s">
        <v>440</v>
      </c>
      <c r="E181" s="28">
        <v>20</v>
      </c>
    </row>
    <row r="182" spans="1:5" ht="12.75">
      <c r="A182" s="33" t="s">
        <v>441</v>
      </c>
      <c r="E182" s="28">
        <v>0</v>
      </c>
    </row>
    <row r="183" spans="1:2" ht="12.75">
      <c r="A183" s="33" t="s">
        <v>313</v>
      </c>
      <c r="B183" s="28">
        <f>Planned_ETAC_Workstations-Existing_ETAC_Workstations</f>
        <v>20</v>
      </c>
    </row>
    <row r="184" spans="1:5" ht="12.75">
      <c r="A184" s="33" t="s">
        <v>442</v>
      </c>
      <c r="E184" s="28">
        <v>4</v>
      </c>
    </row>
    <row r="185" spans="1:5" ht="12.75">
      <c r="A185" s="33" t="s">
        <v>443</v>
      </c>
      <c r="E185" s="28">
        <v>0</v>
      </c>
    </row>
    <row r="186" spans="1:2" ht="12.75">
      <c r="A186" s="33" t="s">
        <v>444</v>
      </c>
      <c r="B186" s="28">
        <f>Planned_ETAC_Dot_Matrix_Printers-Existing_ETAC_Dot_Matrix_Printers</f>
        <v>4</v>
      </c>
    </row>
    <row r="187" spans="1:5" ht="12.75">
      <c r="A187" s="33" t="s">
        <v>445</v>
      </c>
      <c r="E187" s="28">
        <v>2</v>
      </c>
    </row>
    <row r="188" spans="1:5" ht="12.75">
      <c r="A188" s="33" t="s">
        <v>446</v>
      </c>
      <c r="E188" s="28">
        <v>0</v>
      </c>
    </row>
    <row r="189" spans="1:2" ht="12.75">
      <c r="A189" s="33" t="s">
        <v>447</v>
      </c>
      <c r="B189" s="28">
        <f>Planned_ETAC_Laser_Printers-Existing_ETAC_Laser_Printers</f>
        <v>2</v>
      </c>
    </row>
    <row r="190" spans="1:5" ht="12.75">
      <c r="A190" s="33" t="s">
        <v>448</v>
      </c>
      <c r="E190" s="28">
        <v>2</v>
      </c>
    </row>
    <row r="191" spans="1:5" ht="12.75">
      <c r="A191" s="33" t="s">
        <v>449</v>
      </c>
      <c r="E191" s="28">
        <v>0</v>
      </c>
    </row>
    <row r="192" spans="1:2" ht="12.75">
      <c r="A192" s="33" t="s">
        <v>450</v>
      </c>
      <c r="B192" s="28">
        <f>Planned_ETAC_File_Servers-Existing_ETAC_File_Servers</f>
        <v>2</v>
      </c>
    </row>
    <row r="193" spans="1:5" ht="12.75">
      <c r="A193" s="33" t="s">
        <v>451</v>
      </c>
      <c r="E193" s="28">
        <v>0</v>
      </c>
    </row>
    <row r="194" spans="1:5" ht="12.75">
      <c r="A194" s="33" t="s">
        <v>452</v>
      </c>
      <c r="E194" s="28">
        <v>0</v>
      </c>
    </row>
    <row r="195" spans="1:2" ht="12.75">
      <c r="A195" s="33" t="s">
        <v>453</v>
      </c>
      <c r="B195" s="28">
        <f>Planned_ETAC_Appl_Servers-Existing_ETAC_Appl_Servers</f>
        <v>0</v>
      </c>
    </row>
    <row r="196" ht="20.25">
      <c r="A196" s="32" t="s">
        <v>51</v>
      </c>
    </row>
    <row r="197" spans="1:2" ht="12.75">
      <c r="A197" s="33" t="s">
        <v>291</v>
      </c>
      <c r="B197" s="28">
        <f>New_ETAC_File_Servers+New_ETAC_Appl_Servers</f>
        <v>2</v>
      </c>
    </row>
    <row r="198" spans="1:2" ht="12.75">
      <c r="A198" s="33" t="s">
        <v>247</v>
      </c>
      <c r="B198" s="28">
        <f>New_ETAC_File_Servers</f>
        <v>2</v>
      </c>
    </row>
    <row r="199" spans="1:2" ht="12.75">
      <c r="A199" s="33" t="s">
        <v>209</v>
      </c>
      <c r="B199" s="28">
        <f>New_ETAC_Workstations</f>
        <v>20</v>
      </c>
    </row>
    <row r="200" spans="1:2" ht="12.75">
      <c r="A200" s="33" t="s">
        <v>293</v>
      </c>
      <c r="B200" s="28">
        <v>1</v>
      </c>
    </row>
    <row r="201" ht="20.25">
      <c r="A201" s="32" t="s">
        <v>210</v>
      </c>
    </row>
    <row r="202" spans="1:2" ht="12.75">
      <c r="A202" s="29" t="s">
        <v>318</v>
      </c>
      <c r="B202" s="28">
        <v>16</v>
      </c>
    </row>
    <row r="203" spans="1:2" ht="12.75">
      <c r="A203" s="29" t="s">
        <v>319</v>
      </c>
      <c r="B203" s="28">
        <v>4</v>
      </c>
    </row>
    <row r="204" spans="1:2" ht="12.75">
      <c r="A204" s="29" t="s">
        <v>320</v>
      </c>
      <c r="B204" s="28">
        <v>200</v>
      </c>
    </row>
    <row r="205" spans="1:2" ht="12.75">
      <c r="A205" s="29" t="s">
        <v>321</v>
      </c>
      <c r="B205" s="28">
        <v>75</v>
      </c>
    </row>
    <row r="206" spans="1:2" ht="12.75">
      <c r="A206" s="29" t="s">
        <v>322</v>
      </c>
      <c r="B206" s="28">
        <v>4</v>
      </c>
    </row>
    <row r="207" spans="1:2" ht="12.75">
      <c r="A207" s="29" t="s">
        <v>323</v>
      </c>
      <c r="B207" s="28">
        <v>3</v>
      </c>
    </row>
    <row r="208" spans="1:2" ht="12.75">
      <c r="A208" s="29" t="s">
        <v>324</v>
      </c>
      <c r="B208" s="28">
        <v>3</v>
      </c>
    </row>
    <row r="209" spans="1:2" ht="12.75">
      <c r="A209" s="29" t="s">
        <v>325</v>
      </c>
      <c r="B209" s="28">
        <v>9</v>
      </c>
    </row>
    <row r="210" spans="1:2" ht="12.75">
      <c r="A210" s="29" t="s">
        <v>326</v>
      </c>
      <c r="B210" s="28">
        <v>3</v>
      </c>
    </row>
    <row r="211" spans="1:2" ht="12.75">
      <c r="A211" s="29" t="s">
        <v>327</v>
      </c>
      <c r="B211" s="28">
        <v>2</v>
      </c>
    </row>
    <row r="212" spans="1:2" ht="12.75">
      <c r="A212" s="29" t="s">
        <v>328</v>
      </c>
      <c r="B212" s="28">
        <v>2</v>
      </c>
    </row>
    <row r="213" spans="1:2" ht="12.75">
      <c r="A213" s="29" t="s">
        <v>330</v>
      </c>
      <c r="B213" s="28">
        <v>1</v>
      </c>
    </row>
    <row r="214" spans="1:2" ht="12.75">
      <c r="A214" s="29" t="s">
        <v>331</v>
      </c>
      <c r="B214" s="28">
        <v>0</v>
      </c>
    </row>
    <row r="215" spans="1:2" ht="12.75">
      <c r="A215" s="29" t="s">
        <v>332</v>
      </c>
      <c r="B215" s="28">
        <v>1</v>
      </c>
    </row>
    <row r="216" spans="1:2" ht="12.75">
      <c r="A216" s="29" t="s">
        <v>333</v>
      </c>
      <c r="B216" s="28">
        <v>1</v>
      </c>
    </row>
    <row r="217" ht="20.25">
      <c r="A217" s="34" t="s">
        <v>86</v>
      </c>
    </row>
    <row r="218" spans="1:4" ht="12.75">
      <c r="A218" s="33" t="s">
        <v>454</v>
      </c>
      <c r="B218" s="31">
        <f>Standard_HW_Maintenance_Percent</f>
        <v>0.05</v>
      </c>
      <c r="D218" s="785"/>
    </row>
    <row r="219" spans="1:4" ht="12.75">
      <c r="A219" s="33" t="s">
        <v>455</v>
      </c>
      <c r="B219" s="31">
        <f>Standard_SW_Maintenance_Percent</f>
        <v>0.05</v>
      </c>
      <c r="D219" s="785"/>
    </row>
    <row r="220" spans="1:4" ht="12.75">
      <c r="A220" s="33" t="s">
        <v>456</v>
      </c>
      <c r="B220" s="31">
        <f>Standard_NW_Maintenance_Percent</f>
        <v>0.05</v>
      </c>
      <c r="D220" s="785"/>
    </row>
    <row r="221" spans="1:2" ht="12.75">
      <c r="A221" s="33" t="s">
        <v>334</v>
      </c>
      <c r="B221" s="28">
        <v>1</v>
      </c>
    </row>
    <row r="222" spans="1:5" s="35" customFormat="1" ht="20.25">
      <c r="A222" s="32" t="s">
        <v>335</v>
      </c>
      <c r="B222" s="28"/>
      <c r="C222" s="28"/>
      <c r="D222" s="781"/>
      <c r="E222" s="28"/>
    </row>
    <row r="223" spans="1:2" ht="12.75">
      <c r="A223" s="29" t="s">
        <v>336</v>
      </c>
      <c r="B223" s="28">
        <v>1</v>
      </c>
    </row>
    <row r="225" spans="1:4" ht="25.5">
      <c r="A225" s="8" t="s">
        <v>706</v>
      </c>
      <c r="B225" s="28">
        <v>782</v>
      </c>
      <c r="C225" s="28">
        <v>782</v>
      </c>
      <c r="D225" s="781" t="s">
        <v>707</v>
      </c>
    </row>
    <row r="226" spans="1:2" ht="12.75">
      <c r="A226" s="1" t="s">
        <v>457</v>
      </c>
      <c r="B226" s="28">
        <v>0</v>
      </c>
    </row>
    <row r="227" spans="1:2" ht="12.75">
      <c r="A227" s="1" t="s">
        <v>458</v>
      </c>
      <c r="B227" s="28">
        <f>B225+B226</f>
        <v>782</v>
      </c>
    </row>
    <row r="228" spans="1:2" ht="12.75">
      <c r="A228" s="1" t="s">
        <v>459</v>
      </c>
      <c r="B228" s="28">
        <f>Number_of_FRYSC_Classrooms*0.25</f>
        <v>195.5</v>
      </c>
    </row>
    <row r="229" ht="12.75">
      <c r="A229" s="8" t="s">
        <v>708</v>
      </c>
    </row>
    <row r="230" spans="1:4" ht="39">
      <c r="A230" s="8" t="s">
        <v>709</v>
      </c>
      <c r="C230" s="28">
        <v>521</v>
      </c>
      <c r="D230" s="781" t="s">
        <v>710</v>
      </c>
    </row>
    <row r="231" spans="1:4" ht="39">
      <c r="A231" s="8" t="s">
        <v>721</v>
      </c>
      <c r="B231" s="28">
        <v>52</v>
      </c>
      <c r="C231" s="28">
        <v>52</v>
      </c>
      <c r="D231" s="781" t="s">
        <v>710</v>
      </c>
    </row>
    <row r="232" ht="12.75">
      <c r="A232" s="8" t="s">
        <v>722</v>
      </c>
    </row>
    <row r="233" spans="1:4" ht="39">
      <c r="A233" s="8" t="s">
        <v>723</v>
      </c>
      <c r="C233" s="28">
        <v>27489</v>
      </c>
      <c r="D233" s="781" t="s">
        <v>710</v>
      </c>
    </row>
    <row r="234" spans="1:4" ht="12.75">
      <c r="A234" s="1" t="s">
        <v>715</v>
      </c>
      <c r="B234" s="532">
        <v>529</v>
      </c>
      <c r="C234" s="532"/>
      <c r="D234" s="783"/>
    </row>
    <row r="235" spans="1:5" s="35" customFormat="1" ht="12.75">
      <c r="A235" s="1" t="s">
        <v>711</v>
      </c>
      <c r="B235" s="532">
        <v>138</v>
      </c>
      <c r="C235" s="532"/>
      <c r="D235" s="783"/>
      <c r="E235" s="28"/>
    </row>
    <row r="236" spans="1:5" s="35" customFormat="1" ht="51.75">
      <c r="A236" s="1" t="s">
        <v>712</v>
      </c>
      <c r="B236" s="789">
        <v>44</v>
      </c>
      <c r="C236" s="790">
        <v>44</v>
      </c>
      <c r="D236" s="791" t="s">
        <v>716</v>
      </c>
      <c r="E236" s="28"/>
    </row>
    <row r="237" spans="1:4" ht="12.75">
      <c r="A237" s="1" t="s">
        <v>713</v>
      </c>
      <c r="B237" s="532">
        <f>B234+B235</f>
        <v>667</v>
      </c>
      <c r="C237" s="532"/>
      <c r="D237" s="783"/>
    </row>
    <row r="238" spans="1:4" ht="51.75">
      <c r="A238" s="1" t="s">
        <v>714</v>
      </c>
      <c r="B238" s="532">
        <v>0</v>
      </c>
      <c r="C238" s="532">
        <v>21724</v>
      </c>
      <c r="D238" s="791" t="s">
        <v>716</v>
      </c>
    </row>
    <row r="239" spans="2:4" ht="12.75">
      <c r="B239" s="532"/>
      <c r="C239" s="532"/>
      <c r="D239" s="783"/>
    </row>
    <row r="240" ht="12.75">
      <c r="A240" s="104" t="s">
        <v>460</v>
      </c>
    </row>
    <row r="241" ht="12.75">
      <c r="A241" s="8" t="s">
        <v>461</v>
      </c>
    </row>
    <row r="242" ht="12.75">
      <c r="A242" s="8" t="s">
        <v>462</v>
      </c>
    </row>
    <row r="243" ht="12.75">
      <c r="A243" s="8" t="s">
        <v>463</v>
      </c>
    </row>
    <row r="244" ht="12.75">
      <c r="A244" s="8" t="s">
        <v>464</v>
      </c>
    </row>
    <row r="247" ht="12.75">
      <c r="A247" s="11" t="s">
        <v>465</v>
      </c>
    </row>
    <row r="248" spans="1:5" ht="12.75">
      <c r="A248" s="8" t="s">
        <v>466</v>
      </c>
      <c r="B248" s="28">
        <v>5</v>
      </c>
      <c r="E248" s="28" t="s">
        <v>467</v>
      </c>
    </row>
    <row r="249" spans="1:2" ht="12.75">
      <c r="A249" s="8" t="s">
        <v>468</v>
      </c>
      <c r="B249" s="28">
        <v>5</v>
      </c>
    </row>
    <row r="250" spans="1:2" ht="12.75">
      <c r="A250" s="8" t="s">
        <v>469</v>
      </c>
      <c r="B250" s="28">
        <v>6</v>
      </c>
    </row>
    <row r="251" spans="1:2" ht="12.75">
      <c r="A251" s="8" t="s">
        <v>470</v>
      </c>
      <c r="B251" s="28">
        <v>6</v>
      </c>
    </row>
    <row r="252" spans="1:4" ht="12.75">
      <c r="A252" s="8" t="s">
        <v>471</v>
      </c>
      <c r="B252" s="136">
        <v>0.7</v>
      </c>
      <c r="D252" s="786"/>
    </row>
    <row r="253" spans="1:4" ht="12.75">
      <c r="A253" s="8" t="s">
        <v>472</v>
      </c>
      <c r="B253" s="137">
        <v>0.7</v>
      </c>
      <c r="D253" s="787"/>
    </row>
  </sheetData>
  <sheetProtection/>
  <printOptions/>
  <pageMargins left="0.75" right="0.75" top="1.08" bottom="0.5" header="0.5" footer="0.5"/>
  <pageSetup cellComments="asDisplayed" horizontalDpi="600" verticalDpi="600" orientation="landscape" scale="56" r:id="rId3"/>
  <headerFooter alignWithMargins="0">
    <oddHeader>&amp;L&amp;"Palatino,Bold"&amp;T, &amp;D  Draft&amp;C&amp;"Palatino,Bold"&amp;24Master Plan Budget
Line Item Counts&amp;R&amp;"Palatino,Bold"Page  &amp;P</oddHeader>
  </headerFooter>
  <legacyDrawing r:id="rId2"/>
</worksheet>
</file>

<file path=xl/worksheets/sheet8.xml><?xml version="1.0" encoding="utf-8"?>
<worksheet xmlns="http://schemas.openxmlformats.org/spreadsheetml/2006/main" xmlns:r="http://schemas.openxmlformats.org/officeDocument/2006/relationships">
  <dimension ref="A1:I77"/>
  <sheetViews>
    <sheetView zoomScalePageLayoutView="0" workbookViewId="0" topLeftCell="A54">
      <selection activeCell="A4" sqref="A4"/>
    </sheetView>
  </sheetViews>
  <sheetFormatPr defaultColWidth="9.140625" defaultRowHeight="12.75"/>
  <cols>
    <col min="1" max="1" width="41.140625" style="0" customWidth="1"/>
    <col min="2" max="2" width="13.28125" style="0" customWidth="1"/>
    <col min="3" max="3" width="9.7109375" style="0" customWidth="1"/>
    <col min="4" max="4" width="11.28125" style="0" customWidth="1"/>
    <col min="5" max="5" width="14.28125" style="0" customWidth="1"/>
    <col min="6" max="6" width="11.00390625" style="0" customWidth="1"/>
    <col min="7" max="7" width="13.28125" style="0" customWidth="1"/>
    <col min="8" max="8" width="15.57421875" style="0" customWidth="1"/>
    <col min="9" max="9" width="9.7109375" style="0" customWidth="1"/>
  </cols>
  <sheetData>
    <row r="1" spans="1:9" ht="48" thickBot="1">
      <c r="A1" s="38"/>
      <c r="B1" s="39" t="s">
        <v>473</v>
      </c>
      <c r="C1" s="512" t="s">
        <v>474</v>
      </c>
      <c r="D1" s="110" t="s">
        <v>7</v>
      </c>
      <c r="E1" s="110" t="s">
        <v>8</v>
      </c>
      <c r="F1" s="40" t="s">
        <v>9</v>
      </c>
      <c r="G1" s="40" t="s">
        <v>143</v>
      </c>
      <c r="H1" s="41" t="s">
        <v>475</v>
      </c>
      <c r="I1" s="241" t="s">
        <v>13</v>
      </c>
    </row>
    <row r="2" ht="13.5" thickTop="1"/>
    <row r="4" spans="1:9" ht="15.75">
      <c r="A4" s="84" t="s">
        <v>105</v>
      </c>
      <c r="B4" s="62" t="s">
        <v>25</v>
      </c>
      <c r="C4" s="88"/>
      <c r="D4" s="113"/>
      <c r="E4" s="113"/>
      <c r="F4" s="50"/>
      <c r="G4" s="50"/>
      <c r="H4" s="51"/>
      <c r="I4" s="52"/>
    </row>
    <row r="5" spans="1:9" ht="15.75">
      <c r="A5" s="344" t="s">
        <v>476</v>
      </c>
      <c r="B5" s="76">
        <f>17500+372000</f>
        <v>389500</v>
      </c>
      <c r="C5" s="85">
        <v>1</v>
      </c>
      <c r="D5" s="142">
        <f aca="true" t="shared" si="0" ref="D5:D13">E5/C5</f>
        <v>389500</v>
      </c>
      <c r="E5" s="98">
        <f aca="true" t="shared" si="1" ref="E5:E13">H5/BudgetYears</f>
        <v>389500</v>
      </c>
      <c r="F5" s="123">
        <v>1</v>
      </c>
      <c r="G5" s="123">
        <v>0</v>
      </c>
      <c r="H5" s="43">
        <f aca="true" t="shared" si="2" ref="H5:H13">(B5*C5)*(BudgetYears/F5)</f>
        <v>2337000</v>
      </c>
      <c r="I5" s="44" t="s">
        <v>107</v>
      </c>
    </row>
    <row r="6" spans="1:9" ht="15.75">
      <c r="A6" s="344" t="s">
        <v>477</v>
      </c>
      <c r="B6" s="530">
        <v>25000</v>
      </c>
      <c r="C6" s="85">
        <v>1</v>
      </c>
      <c r="D6" s="142">
        <f t="shared" si="0"/>
        <v>25000</v>
      </c>
      <c r="E6" s="98">
        <f t="shared" si="1"/>
        <v>25000</v>
      </c>
      <c r="F6" s="123">
        <v>1</v>
      </c>
      <c r="G6" s="123">
        <v>0</v>
      </c>
      <c r="H6" s="43">
        <f t="shared" si="2"/>
        <v>150000</v>
      </c>
      <c r="I6" s="44" t="s">
        <v>107</v>
      </c>
    </row>
    <row r="7" spans="1:9" ht="15.75">
      <c r="A7" s="344" t="s">
        <v>478</v>
      </c>
      <c r="B7" s="76">
        <f>(410*Number_of_Districts)+(36*Planned_District_Office_Workstations)</f>
        <v>133980</v>
      </c>
      <c r="C7" s="85">
        <v>1</v>
      </c>
      <c r="D7" s="142">
        <f t="shared" si="0"/>
        <v>22330</v>
      </c>
      <c r="E7" s="98">
        <f t="shared" si="1"/>
        <v>22330</v>
      </c>
      <c r="F7" s="123">
        <v>6</v>
      </c>
      <c r="G7" s="123">
        <v>0</v>
      </c>
      <c r="H7" s="43">
        <f t="shared" si="2"/>
        <v>133980</v>
      </c>
      <c r="I7" s="44" t="s">
        <v>107</v>
      </c>
    </row>
    <row r="8" spans="1:9" ht="15.75">
      <c r="A8" s="344" t="s">
        <v>479</v>
      </c>
      <c r="B8" s="76">
        <v>208</v>
      </c>
      <c r="C8" s="85">
        <v>176</v>
      </c>
      <c r="D8" s="142">
        <f t="shared" si="0"/>
        <v>208</v>
      </c>
      <c r="E8" s="98">
        <f t="shared" si="1"/>
        <v>36608</v>
      </c>
      <c r="F8" s="123">
        <v>1</v>
      </c>
      <c r="G8" s="109">
        <f>(USFInternal)*E8</f>
        <v>25625.6</v>
      </c>
      <c r="H8" s="43">
        <f t="shared" si="2"/>
        <v>219648</v>
      </c>
      <c r="I8" s="44" t="s">
        <v>107</v>
      </c>
    </row>
    <row r="9" spans="1:9" ht="15.75">
      <c r="A9" s="344" t="s">
        <v>480</v>
      </c>
      <c r="B9" s="76">
        <v>204.3</v>
      </c>
      <c r="C9" s="85">
        <v>176</v>
      </c>
      <c r="D9" s="142">
        <f t="shared" si="0"/>
        <v>204.3</v>
      </c>
      <c r="E9" s="98">
        <f t="shared" si="1"/>
        <v>35956.8</v>
      </c>
      <c r="F9" s="123">
        <v>1</v>
      </c>
      <c r="G9" s="109">
        <f>(USFInternal)*E9</f>
        <v>25169.760000000002</v>
      </c>
      <c r="H9" s="43">
        <f t="shared" si="2"/>
        <v>215740.80000000002</v>
      </c>
      <c r="I9" s="44" t="s">
        <v>107</v>
      </c>
    </row>
    <row r="10" spans="1:9" ht="15.75">
      <c r="A10" s="344" t="s">
        <v>481</v>
      </c>
      <c r="B10" s="76">
        <v>36.4</v>
      </c>
      <c r="C10" s="85">
        <f>176*2</f>
        <v>352</v>
      </c>
      <c r="D10" s="142">
        <f t="shared" si="0"/>
        <v>36.39999999999999</v>
      </c>
      <c r="E10" s="98">
        <f t="shared" si="1"/>
        <v>12812.799999999997</v>
      </c>
      <c r="F10" s="123">
        <v>1</v>
      </c>
      <c r="G10" s="109">
        <f>(USFInternal)*E10</f>
        <v>8968.959999999997</v>
      </c>
      <c r="H10" s="43">
        <f t="shared" si="2"/>
        <v>76876.79999999999</v>
      </c>
      <c r="I10" s="44" t="s">
        <v>107</v>
      </c>
    </row>
    <row r="11" spans="1:9" ht="15.75">
      <c r="A11" s="344" t="s">
        <v>482</v>
      </c>
      <c r="B11" s="76">
        <v>105.4</v>
      </c>
      <c r="C11" s="85">
        <f>Number_of_Districts</f>
        <v>174</v>
      </c>
      <c r="D11" s="142">
        <f t="shared" si="0"/>
        <v>105.4</v>
      </c>
      <c r="E11" s="98">
        <f t="shared" si="1"/>
        <v>18339.600000000002</v>
      </c>
      <c r="F11" s="123">
        <v>1</v>
      </c>
      <c r="G11" s="109">
        <f>(USFInternal)*E11</f>
        <v>12837.720000000001</v>
      </c>
      <c r="H11" s="43">
        <f t="shared" si="2"/>
        <v>110037.6</v>
      </c>
      <c r="I11" s="44" t="s">
        <v>107</v>
      </c>
    </row>
    <row r="12" spans="1:9" ht="15.75">
      <c r="A12" s="344" t="s">
        <v>483</v>
      </c>
      <c r="B12" s="54">
        <v>5100</v>
      </c>
      <c r="C12" s="85">
        <f>'Reference Data'!$B$2</f>
        <v>174</v>
      </c>
      <c r="D12" s="142">
        <f t="shared" si="0"/>
        <v>1700</v>
      </c>
      <c r="E12" s="98">
        <f t="shared" si="1"/>
        <v>295800</v>
      </c>
      <c r="F12" s="123">
        <v>3</v>
      </c>
      <c r="G12" s="123">
        <v>0</v>
      </c>
      <c r="H12" s="43">
        <f t="shared" si="2"/>
        <v>1774800</v>
      </c>
      <c r="I12" s="44" t="s">
        <v>107</v>
      </c>
    </row>
    <row r="13" spans="1:9" ht="15.75">
      <c r="A13" s="344" t="s">
        <v>484</v>
      </c>
      <c r="B13" s="54">
        <v>500</v>
      </c>
      <c r="C13" s="85">
        <v>176</v>
      </c>
      <c r="D13" s="142">
        <f t="shared" si="0"/>
        <v>500</v>
      </c>
      <c r="E13" s="98">
        <f t="shared" si="1"/>
        <v>88000</v>
      </c>
      <c r="F13" s="123">
        <v>1</v>
      </c>
      <c r="G13" s="123">
        <v>0</v>
      </c>
      <c r="H13" s="43">
        <f t="shared" si="2"/>
        <v>528000</v>
      </c>
      <c r="I13" s="44" t="s">
        <v>107</v>
      </c>
    </row>
    <row r="14" spans="1:9" ht="15.75">
      <c r="A14" s="56" t="s">
        <v>485</v>
      </c>
      <c r="B14" s="57"/>
      <c r="C14" s="89"/>
      <c r="D14" s="114"/>
      <c r="E14" s="114">
        <f>SUM(E5:E13)</f>
        <v>924347.2</v>
      </c>
      <c r="F14" s="58"/>
      <c r="G14" s="114">
        <f>SUM(G5:G12)</f>
        <v>72602.04000000001</v>
      </c>
      <c r="H14" s="59">
        <f>SUM(H5:H12)</f>
        <v>5018083.199999999</v>
      </c>
      <c r="I14" s="60"/>
    </row>
    <row r="16" spans="1:9" ht="15.75">
      <c r="A16" s="84" t="s">
        <v>486</v>
      </c>
      <c r="B16" s="62" t="s">
        <v>25</v>
      </c>
      <c r="C16" s="88"/>
      <c r="D16" s="94"/>
      <c r="E16" s="50"/>
      <c r="F16" s="113"/>
      <c r="G16" s="113"/>
      <c r="H16" s="50"/>
      <c r="I16" s="50"/>
    </row>
    <row r="17" spans="1:9" ht="15.75">
      <c r="A17" s="344" t="s">
        <v>487</v>
      </c>
      <c r="B17" s="54">
        <f>50000+414000</f>
        <v>464000</v>
      </c>
      <c r="C17" s="85">
        <v>1</v>
      </c>
      <c r="D17" s="142">
        <f>E17/C17</f>
        <v>464000</v>
      </c>
      <c r="E17" s="98">
        <f>H17/BudgetYears</f>
        <v>464000</v>
      </c>
      <c r="F17" s="109">
        <v>1</v>
      </c>
      <c r="G17" s="98">
        <v>0</v>
      </c>
      <c r="H17" s="43">
        <f>(B17*C17)*(BudgetYears/F17)</f>
        <v>2784000</v>
      </c>
      <c r="I17" s="123" t="s">
        <v>107</v>
      </c>
    </row>
    <row r="18" spans="1:9" ht="15.75">
      <c r="A18" s="344" t="s">
        <v>488</v>
      </c>
      <c r="B18" s="54">
        <v>50000</v>
      </c>
      <c r="C18" s="85"/>
      <c r="D18" s="142"/>
      <c r="E18" s="98"/>
      <c r="F18" s="109"/>
      <c r="G18" s="98"/>
      <c r="H18" s="43"/>
      <c r="I18" s="123"/>
    </row>
    <row r="19" spans="1:9" ht="15.75">
      <c r="A19" s="344" t="s">
        <v>489</v>
      </c>
      <c r="B19" s="54">
        <v>600000</v>
      </c>
      <c r="C19" s="85">
        <v>1</v>
      </c>
      <c r="D19" s="142">
        <f>E19/C19</f>
        <v>600000</v>
      </c>
      <c r="E19" s="98">
        <f>H19/BudgetYears</f>
        <v>600000</v>
      </c>
      <c r="F19" s="109">
        <v>1</v>
      </c>
      <c r="G19" s="98">
        <v>0</v>
      </c>
      <c r="H19" s="43">
        <f>(B19*C19)*(BudgetYears/F19)</f>
        <v>3600000</v>
      </c>
      <c r="I19" s="123" t="s">
        <v>107</v>
      </c>
    </row>
    <row r="20" spans="1:9" ht="15.75">
      <c r="A20" s="344" t="s">
        <v>490</v>
      </c>
      <c r="B20" s="54">
        <v>100000</v>
      </c>
      <c r="C20" s="85">
        <v>1</v>
      </c>
      <c r="D20" s="142">
        <f>E20/C20</f>
        <v>100000</v>
      </c>
      <c r="E20" s="98">
        <f>H20/BudgetYears</f>
        <v>100000</v>
      </c>
      <c r="F20" s="109">
        <v>1</v>
      </c>
      <c r="G20" s="98">
        <v>0</v>
      </c>
      <c r="H20" s="43">
        <f>(B20*C20)*(BudgetYears/F20)</f>
        <v>600000</v>
      </c>
      <c r="I20" s="123" t="s">
        <v>107</v>
      </c>
    </row>
    <row r="21" spans="1:9" ht="15.75">
      <c r="A21" s="344" t="s">
        <v>491</v>
      </c>
      <c r="B21" s="54">
        <v>900000</v>
      </c>
      <c r="C21" s="85">
        <v>1</v>
      </c>
      <c r="D21" s="142">
        <f>E21/C21</f>
        <v>900000</v>
      </c>
      <c r="E21" s="98">
        <f>H21/BudgetYears</f>
        <v>900000</v>
      </c>
      <c r="F21" s="109">
        <v>1</v>
      </c>
      <c r="G21" s="387">
        <f>(USFInternal)*(0.3*E21)</f>
        <v>189000</v>
      </c>
      <c r="H21" s="43">
        <f>(B21*C21)*(BudgetYears/F21)</f>
        <v>5400000</v>
      </c>
      <c r="I21" s="109" t="s">
        <v>107</v>
      </c>
    </row>
    <row r="22" spans="1:9" ht="15.75">
      <c r="A22" s="56" t="s">
        <v>151</v>
      </c>
      <c r="B22" s="78" t="s">
        <v>25</v>
      </c>
      <c r="C22" s="90"/>
      <c r="D22" s="96"/>
      <c r="E22" s="245">
        <f>SUM(E17:E21)</f>
        <v>2064000</v>
      </c>
      <c r="F22" s="244"/>
      <c r="G22" s="130">
        <f>SUM(G17:G21)</f>
        <v>189000</v>
      </c>
      <c r="H22" s="245">
        <f>SUM(H17:H21)</f>
        <v>12384000</v>
      </c>
      <c r="I22" s="130" t="s">
        <v>25</v>
      </c>
    </row>
    <row r="23" spans="1:9" ht="15.75">
      <c r="A23" s="56"/>
      <c r="B23" s="78"/>
      <c r="C23" s="90"/>
      <c r="D23" s="96"/>
      <c r="E23" s="66"/>
      <c r="F23" s="244"/>
      <c r="G23" s="117"/>
      <c r="H23" s="66"/>
      <c r="I23" s="66"/>
    </row>
    <row r="24" spans="1:9" ht="15.75">
      <c r="A24" s="84" t="s">
        <v>110</v>
      </c>
      <c r="B24" s="62" t="s">
        <v>25</v>
      </c>
      <c r="C24" s="88"/>
      <c r="D24" s="94"/>
      <c r="E24" s="62" t="s">
        <v>25</v>
      </c>
      <c r="F24" s="122"/>
      <c r="G24" s="122"/>
      <c r="H24" s="62"/>
      <c r="I24" s="62"/>
    </row>
    <row r="25" spans="1:9" ht="15.75">
      <c r="A25" s="344" t="s">
        <v>492</v>
      </c>
      <c r="B25" s="54">
        <f>IP_Data!D153</f>
        <v>373440</v>
      </c>
      <c r="C25" s="85">
        <v>1</v>
      </c>
      <c r="D25" s="142">
        <f aca="true" t="shared" si="3" ref="D25:D30">E25/C25</f>
        <v>373440</v>
      </c>
      <c r="E25" s="98">
        <f aca="true" t="shared" si="4" ref="E25:E30">H25/BudgetYears</f>
        <v>373440</v>
      </c>
      <c r="F25" s="109">
        <v>1</v>
      </c>
      <c r="G25" s="98">
        <v>0</v>
      </c>
      <c r="H25" s="43">
        <f aca="true" t="shared" si="5" ref="H25:H30">(B25*C25)*(BudgetYears/F25)</f>
        <v>2240640</v>
      </c>
      <c r="I25" s="123" t="s">
        <v>107</v>
      </c>
    </row>
    <row r="26" spans="1:9" ht="15.75">
      <c r="A26" s="344" t="s">
        <v>493</v>
      </c>
      <c r="B26" s="54">
        <f>IP_Data!D134</f>
        <v>857320</v>
      </c>
      <c r="C26" s="85">
        <v>1</v>
      </c>
      <c r="D26" s="142">
        <f t="shared" si="3"/>
        <v>857320</v>
      </c>
      <c r="E26" s="98">
        <f t="shared" si="4"/>
        <v>857320</v>
      </c>
      <c r="F26" s="109">
        <v>1</v>
      </c>
      <c r="G26" s="98">
        <v>0</v>
      </c>
      <c r="H26" s="43">
        <f t="shared" si="5"/>
        <v>5143920</v>
      </c>
      <c r="I26" s="109" t="s">
        <v>107</v>
      </c>
    </row>
    <row r="27" spans="1:9" ht="15.75">
      <c r="A27" s="344" t="s">
        <v>494</v>
      </c>
      <c r="B27" s="54">
        <f>IP_Data!D143</f>
        <v>584940</v>
      </c>
      <c r="C27" s="85">
        <v>1</v>
      </c>
      <c r="D27" s="142">
        <f t="shared" si="3"/>
        <v>584940</v>
      </c>
      <c r="E27" s="98">
        <f t="shared" si="4"/>
        <v>584940</v>
      </c>
      <c r="F27" s="109">
        <v>1</v>
      </c>
      <c r="G27" s="98">
        <v>0</v>
      </c>
      <c r="H27" s="43">
        <f t="shared" si="5"/>
        <v>3509640</v>
      </c>
      <c r="I27" s="109" t="s">
        <v>107</v>
      </c>
    </row>
    <row r="28" spans="1:9" ht="15.75">
      <c r="A28" s="344" t="s">
        <v>495</v>
      </c>
      <c r="B28" s="54">
        <v>0</v>
      </c>
      <c r="C28" s="85">
        <v>1</v>
      </c>
      <c r="D28" s="142">
        <f t="shared" si="3"/>
        <v>0</v>
      </c>
      <c r="E28" s="98">
        <f t="shared" si="4"/>
        <v>0</v>
      </c>
      <c r="F28" s="109">
        <v>1</v>
      </c>
      <c r="G28" s="98">
        <v>0</v>
      </c>
      <c r="H28" s="43">
        <f t="shared" si="5"/>
        <v>0</v>
      </c>
      <c r="I28" s="109" t="s">
        <v>107</v>
      </c>
    </row>
    <row r="29" spans="1:9" ht="15.75">
      <c r="A29" s="344" t="s">
        <v>496</v>
      </c>
      <c r="B29" s="54">
        <f>Network!E83</f>
        <v>2745915.7499999995</v>
      </c>
      <c r="C29" s="85">
        <v>1</v>
      </c>
      <c r="D29" s="142">
        <f t="shared" si="3"/>
        <v>2745915.7499999995</v>
      </c>
      <c r="E29" s="98">
        <f t="shared" si="4"/>
        <v>2745915.7499999995</v>
      </c>
      <c r="F29" s="109">
        <v>1</v>
      </c>
      <c r="G29" s="109">
        <f>(USFInternal)*E29</f>
        <v>1922141.0249999994</v>
      </c>
      <c r="H29" s="43">
        <f t="shared" si="5"/>
        <v>16475494.499999996</v>
      </c>
      <c r="I29" s="109" t="s">
        <v>107</v>
      </c>
    </row>
    <row r="30" spans="1:9" ht="15.75">
      <c r="A30" s="344" t="s">
        <v>490</v>
      </c>
      <c r="B30" s="54">
        <v>100000</v>
      </c>
      <c r="C30" s="85">
        <v>1</v>
      </c>
      <c r="D30" s="142">
        <f t="shared" si="3"/>
        <v>100000</v>
      </c>
      <c r="E30" s="98">
        <f t="shared" si="4"/>
        <v>100000</v>
      </c>
      <c r="F30" s="109">
        <v>1</v>
      </c>
      <c r="G30" s="109">
        <v>0</v>
      </c>
      <c r="H30" s="43">
        <f t="shared" si="5"/>
        <v>600000</v>
      </c>
      <c r="I30" s="109" t="s">
        <v>107</v>
      </c>
    </row>
    <row r="31" spans="1:9" ht="15.75">
      <c r="A31" s="56" t="s">
        <v>151</v>
      </c>
      <c r="B31" s="57"/>
      <c r="C31" s="89"/>
      <c r="D31" s="95"/>
      <c r="E31" s="114">
        <f>SUM(E25:E29)</f>
        <v>4561615.75</v>
      </c>
      <c r="F31" s="114"/>
      <c r="G31" s="114">
        <f>SUM(G25:G29)</f>
        <v>1922141.0249999994</v>
      </c>
      <c r="H31" s="114">
        <f>SUM(H25:H28)</f>
        <v>10894200</v>
      </c>
      <c r="I31" s="114" t="s">
        <v>25</v>
      </c>
    </row>
    <row r="32" spans="1:9" ht="15.75">
      <c r="A32" s="56"/>
      <c r="B32" s="57"/>
      <c r="C32" s="89"/>
      <c r="D32" s="95"/>
      <c r="E32" s="58"/>
      <c r="F32" s="114"/>
      <c r="G32" s="114"/>
      <c r="H32" s="58"/>
      <c r="I32" s="58"/>
    </row>
    <row r="33" spans="1:9" ht="15.75">
      <c r="A33" s="84" t="s">
        <v>112</v>
      </c>
      <c r="B33" s="52" t="s">
        <v>25</v>
      </c>
      <c r="C33" s="88"/>
      <c r="D33" s="97"/>
      <c r="E33" s="52" t="s">
        <v>25</v>
      </c>
      <c r="F33" s="116"/>
      <c r="G33" s="116"/>
      <c r="H33" s="52"/>
      <c r="I33" s="52"/>
    </row>
    <row r="34" spans="1:9" ht="15.75">
      <c r="A34" s="347" t="s">
        <v>497</v>
      </c>
      <c r="B34" s="287">
        <f>IP_Data!F103</f>
        <v>100000</v>
      </c>
      <c r="C34" s="85">
        <v>1</v>
      </c>
      <c r="D34" s="142">
        <f>E34/C34</f>
        <v>100000</v>
      </c>
      <c r="E34" s="98">
        <f>H34/BudgetYears</f>
        <v>100000</v>
      </c>
      <c r="F34" s="109">
        <v>1</v>
      </c>
      <c r="G34" s="98">
        <v>0</v>
      </c>
      <c r="H34" s="43">
        <f>(B34*C34)*(BudgetYears/F34)</f>
        <v>600000</v>
      </c>
      <c r="I34" s="123" t="s">
        <v>107</v>
      </c>
    </row>
    <row r="35" spans="1:9" ht="15.75">
      <c r="A35" s="344" t="s">
        <v>495</v>
      </c>
      <c r="B35" s="54">
        <v>0</v>
      </c>
      <c r="C35" s="85">
        <v>1</v>
      </c>
      <c r="D35" s="142">
        <f>E35/C35</f>
        <v>0</v>
      </c>
      <c r="E35" s="98">
        <f>H35/BudgetYears</f>
        <v>0</v>
      </c>
      <c r="F35" s="109">
        <v>1</v>
      </c>
      <c r="G35" s="98">
        <v>0</v>
      </c>
      <c r="H35" s="43">
        <f>(B35*C35)*(BudgetYears/F35)</f>
        <v>0</v>
      </c>
      <c r="I35" s="109" t="s">
        <v>107</v>
      </c>
    </row>
    <row r="36" spans="1:9" ht="15.75">
      <c r="A36" s="344" t="s">
        <v>498</v>
      </c>
      <c r="B36" s="54">
        <v>300000</v>
      </c>
      <c r="C36" s="85">
        <v>1</v>
      </c>
      <c r="D36" s="142">
        <f>E36/C36</f>
        <v>300000</v>
      </c>
      <c r="E36" s="98">
        <f>H36/BudgetYears</f>
        <v>300000</v>
      </c>
      <c r="F36" s="109">
        <v>1</v>
      </c>
      <c r="G36" s="98">
        <v>0</v>
      </c>
      <c r="H36" s="43">
        <f>(B36*C36)*(BudgetYears/F36)</f>
        <v>1800000</v>
      </c>
      <c r="I36" s="123" t="s">
        <v>107</v>
      </c>
    </row>
    <row r="37" spans="1:9" ht="15.75">
      <c r="A37" s="344" t="s">
        <v>490</v>
      </c>
      <c r="B37" s="54">
        <v>50000</v>
      </c>
      <c r="C37" s="85">
        <v>1</v>
      </c>
      <c r="D37" s="142">
        <f>E37/C37</f>
        <v>50000</v>
      </c>
      <c r="E37" s="98">
        <f>H37/BudgetYears</f>
        <v>50000</v>
      </c>
      <c r="F37" s="109">
        <v>1</v>
      </c>
      <c r="G37" s="98">
        <v>0</v>
      </c>
      <c r="H37" s="43">
        <f>(B37*C37)*(BudgetYears/F37)</f>
        <v>300000</v>
      </c>
      <c r="I37" s="123" t="s">
        <v>107</v>
      </c>
    </row>
    <row r="38" spans="1:9" ht="15.75">
      <c r="A38" s="56" t="s">
        <v>151</v>
      </c>
      <c r="B38" s="54"/>
      <c r="C38" s="85"/>
      <c r="D38" s="93"/>
      <c r="E38" s="118">
        <f>SUM(E34:E36)</f>
        <v>400000</v>
      </c>
      <c r="F38" s="111"/>
      <c r="G38" s="118">
        <f>SUM(G34:G36)</f>
        <v>0</v>
      </c>
      <c r="H38" s="118">
        <f>SUM(H34:H36)</f>
        <v>2400000</v>
      </c>
      <c r="I38" s="118" t="s">
        <v>25</v>
      </c>
    </row>
    <row r="39" spans="1:9" ht="15.75">
      <c r="A39" s="56"/>
      <c r="B39" s="54"/>
      <c r="C39" s="85"/>
      <c r="D39" s="93"/>
      <c r="E39" s="42"/>
      <c r="F39" s="111"/>
      <c r="G39" s="118"/>
      <c r="H39" s="42"/>
      <c r="I39" s="118"/>
    </row>
    <row r="40" spans="1:9" ht="15.75">
      <c r="A40" s="84" t="s">
        <v>114</v>
      </c>
      <c r="B40" s="52" t="s">
        <v>25</v>
      </c>
      <c r="C40" s="88"/>
      <c r="D40" s="97"/>
      <c r="E40" s="52" t="s">
        <v>25</v>
      </c>
      <c r="F40" s="116"/>
      <c r="G40" s="116"/>
      <c r="H40" s="52"/>
      <c r="I40" s="52"/>
    </row>
    <row r="41" spans="1:9" ht="15.75">
      <c r="A41" s="344" t="s">
        <v>499</v>
      </c>
      <c r="B41" s="54">
        <v>1</v>
      </c>
      <c r="C41" s="85">
        <v>1</v>
      </c>
      <c r="D41" s="142">
        <f>E41/C41</f>
        <v>1</v>
      </c>
      <c r="E41" s="98">
        <f>H41/BudgetYears</f>
        <v>1</v>
      </c>
      <c r="F41" s="109">
        <v>1</v>
      </c>
      <c r="G41" s="98">
        <v>0</v>
      </c>
      <c r="H41" s="43">
        <f>(B41*C41)*(BudgetYears/F41)</f>
        <v>6</v>
      </c>
      <c r="I41" s="128" t="s">
        <v>107</v>
      </c>
    </row>
    <row r="42" spans="1:9" ht="15.75">
      <c r="A42" s="344" t="s">
        <v>487</v>
      </c>
      <c r="B42" s="287">
        <f>IP_Data!F34</f>
        <v>303750</v>
      </c>
      <c r="C42" s="85">
        <v>1</v>
      </c>
      <c r="D42" s="142">
        <f>E42/C42</f>
        <v>303750</v>
      </c>
      <c r="E42" s="98">
        <f>H42/BudgetYears</f>
        <v>303750</v>
      </c>
      <c r="F42" s="109">
        <v>1</v>
      </c>
      <c r="G42" s="98">
        <v>0</v>
      </c>
      <c r="H42" s="43">
        <f>(B42*C42)*(BudgetYears/F42)</f>
        <v>1822500</v>
      </c>
      <c r="I42" s="128" t="s">
        <v>107</v>
      </c>
    </row>
    <row r="43" spans="1:9" ht="15.75">
      <c r="A43" s="344" t="s">
        <v>500</v>
      </c>
      <c r="B43" s="287">
        <f>IP_Data!F7</f>
        <v>246000</v>
      </c>
      <c r="C43" s="85">
        <v>1</v>
      </c>
      <c r="D43" s="142">
        <f>E43/C43</f>
        <v>246000</v>
      </c>
      <c r="E43" s="98">
        <f>H43/BudgetYears</f>
        <v>246000</v>
      </c>
      <c r="F43" s="109">
        <v>1</v>
      </c>
      <c r="G43" s="98">
        <v>0</v>
      </c>
      <c r="H43" s="43">
        <f>(B43*C43)*(BudgetYears/F43)</f>
        <v>1476000</v>
      </c>
      <c r="I43" s="128"/>
    </row>
    <row r="44" spans="1:9" ht="15.75">
      <c r="A44" s="344" t="s">
        <v>490</v>
      </c>
      <c r="B44" s="287">
        <f>IP_Data!F42</f>
        <v>85000</v>
      </c>
      <c r="C44" s="85">
        <v>1</v>
      </c>
      <c r="D44" s="142">
        <f>E44/C44</f>
        <v>85000</v>
      </c>
      <c r="E44" s="98">
        <f>H44/BudgetYears</f>
        <v>85000</v>
      </c>
      <c r="F44" s="109">
        <v>1</v>
      </c>
      <c r="G44" s="98">
        <v>0</v>
      </c>
      <c r="H44" s="43">
        <f>(B44*C44)*(BudgetYears/F44)</f>
        <v>510000</v>
      </c>
      <c r="I44" s="128"/>
    </row>
    <row r="45" spans="1:9" ht="15.75">
      <c r="A45" s="344" t="s">
        <v>501</v>
      </c>
      <c r="B45" s="287">
        <f>IP_Data!F13</f>
        <v>479870</v>
      </c>
      <c r="C45" s="85">
        <v>1</v>
      </c>
      <c r="D45" s="142">
        <f>E45/C45</f>
        <v>479870</v>
      </c>
      <c r="E45" s="98">
        <f>H45/BudgetYears</f>
        <v>479870</v>
      </c>
      <c r="F45" s="109">
        <v>1</v>
      </c>
      <c r="G45" s="98">
        <v>0</v>
      </c>
      <c r="H45" s="43">
        <f>(B45*C45)*(BudgetYears/F45)</f>
        <v>2879220</v>
      </c>
      <c r="I45" s="109" t="s">
        <v>107</v>
      </c>
    </row>
    <row r="46" spans="1:9" ht="15">
      <c r="A46" s="56" t="s">
        <v>151</v>
      </c>
      <c r="B46" s="57"/>
      <c r="C46" s="89"/>
      <c r="D46" s="95"/>
      <c r="E46" s="118">
        <f>SUM(E41:E45)</f>
        <v>1114621</v>
      </c>
      <c r="F46" s="114"/>
      <c r="G46" s="114">
        <f>SUM(G41:G45)</f>
        <v>0</v>
      </c>
      <c r="H46" s="118">
        <f>SUM(H41:H45)</f>
        <v>6687726</v>
      </c>
      <c r="I46" s="114" t="s">
        <v>25</v>
      </c>
    </row>
    <row r="47" spans="1:9" ht="15">
      <c r="A47" s="56"/>
      <c r="B47" s="57"/>
      <c r="C47" s="89"/>
      <c r="D47" s="95"/>
      <c r="E47" s="58"/>
      <c r="F47" s="114"/>
      <c r="G47" s="114"/>
      <c r="H47" s="58"/>
      <c r="I47" s="114"/>
    </row>
    <row r="48" spans="1:9" ht="15">
      <c r="A48" s="84" t="s">
        <v>116</v>
      </c>
      <c r="B48" s="116"/>
      <c r="C48" s="88"/>
      <c r="D48" s="97"/>
      <c r="E48" s="52"/>
      <c r="F48" s="116"/>
      <c r="G48" s="116"/>
      <c r="H48" s="52"/>
      <c r="I48" s="52"/>
    </row>
    <row r="49" spans="1:9" ht="15">
      <c r="A49" s="511" t="s">
        <v>502</v>
      </c>
      <c r="B49" s="243">
        <f>IP_Data!E93</f>
        <v>50000</v>
      </c>
      <c r="C49" s="90">
        <v>1</v>
      </c>
      <c r="D49" s="142">
        <f aca="true" t="shared" si="6" ref="D49:D57">E49/C49</f>
        <v>50000</v>
      </c>
      <c r="E49" s="98">
        <f aca="true" t="shared" si="7" ref="E49:E57">H49/BudgetYears</f>
        <v>50000</v>
      </c>
      <c r="F49" s="109">
        <v>1</v>
      </c>
      <c r="G49" s="98">
        <v>0</v>
      </c>
      <c r="H49" s="43">
        <f aca="true" t="shared" si="8" ref="H49:H57">(B49*C49)*(BudgetYears/F49)</f>
        <v>300000</v>
      </c>
      <c r="I49" s="68"/>
    </row>
    <row r="50" spans="1:9" ht="15">
      <c r="A50" s="511" t="s">
        <v>503</v>
      </c>
      <c r="B50" s="243">
        <f>IP_Data!E52</f>
        <v>90000</v>
      </c>
      <c r="C50" s="90">
        <v>1</v>
      </c>
      <c r="D50" s="142">
        <f t="shared" si="6"/>
        <v>90000</v>
      </c>
      <c r="E50" s="98">
        <f t="shared" si="7"/>
        <v>90000</v>
      </c>
      <c r="F50" s="109">
        <v>1</v>
      </c>
      <c r="G50" s="98">
        <v>0</v>
      </c>
      <c r="H50" s="43">
        <f t="shared" si="8"/>
        <v>540000</v>
      </c>
      <c r="I50" s="128" t="s">
        <v>107</v>
      </c>
    </row>
    <row r="51" spans="1:9" ht="15">
      <c r="A51" s="511" t="s">
        <v>504</v>
      </c>
      <c r="B51" s="243">
        <f>IP_Data!F96</f>
        <v>800000</v>
      </c>
      <c r="C51" s="90">
        <v>1</v>
      </c>
      <c r="D51" s="142">
        <f t="shared" si="6"/>
        <v>800000</v>
      </c>
      <c r="E51" s="98">
        <f t="shared" si="7"/>
        <v>800000</v>
      </c>
      <c r="F51" s="109">
        <v>1</v>
      </c>
      <c r="G51" s="98">
        <v>0</v>
      </c>
      <c r="H51" s="43">
        <f t="shared" si="8"/>
        <v>4800000</v>
      </c>
      <c r="I51" s="109" t="s">
        <v>107</v>
      </c>
    </row>
    <row r="52" spans="1:9" ht="15">
      <c r="A52" s="511" t="s">
        <v>505</v>
      </c>
      <c r="B52" s="243">
        <f>IP_Data!E82</f>
        <v>140000</v>
      </c>
      <c r="C52" s="90">
        <v>1</v>
      </c>
      <c r="D52" s="142">
        <f t="shared" si="6"/>
        <v>140000</v>
      </c>
      <c r="E52" s="98">
        <f t="shared" si="7"/>
        <v>140000</v>
      </c>
      <c r="F52" s="109">
        <v>1</v>
      </c>
      <c r="G52" s="98">
        <v>0</v>
      </c>
      <c r="H52" s="43">
        <f t="shared" si="8"/>
        <v>840000</v>
      </c>
      <c r="I52" s="109" t="s">
        <v>107</v>
      </c>
    </row>
    <row r="53" spans="1:9" ht="15">
      <c r="A53" s="511" t="s">
        <v>506</v>
      </c>
      <c r="B53" s="243">
        <f>IP_Data!F80</f>
        <v>20000</v>
      </c>
      <c r="C53" s="90">
        <v>1</v>
      </c>
      <c r="D53" s="142">
        <f t="shared" si="6"/>
        <v>20000</v>
      </c>
      <c r="E53" s="98">
        <f t="shared" si="7"/>
        <v>20000</v>
      </c>
      <c r="F53" s="109">
        <v>1</v>
      </c>
      <c r="G53" s="98">
        <v>0</v>
      </c>
      <c r="H53" s="43">
        <f t="shared" si="8"/>
        <v>120000</v>
      </c>
      <c r="I53" s="109" t="s">
        <v>107</v>
      </c>
    </row>
    <row r="54" spans="1:9" ht="15">
      <c r="A54" s="511" t="s">
        <v>507</v>
      </c>
      <c r="B54" s="243">
        <f>IP_Data!F65</f>
        <v>40000</v>
      </c>
      <c r="C54" s="90">
        <v>1</v>
      </c>
      <c r="D54" s="142">
        <f t="shared" si="6"/>
        <v>40000</v>
      </c>
      <c r="E54" s="98">
        <f t="shared" si="7"/>
        <v>40000</v>
      </c>
      <c r="F54" s="109">
        <v>1</v>
      </c>
      <c r="G54" s="98">
        <v>0</v>
      </c>
      <c r="H54" s="43">
        <f t="shared" si="8"/>
        <v>240000</v>
      </c>
      <c r="I54" s="109" t="s">
        <v>107</v>
      </c>
    </row>
    <row r="55" spans="1:9" ht="15">
      <c r="A55" s="511" t="s">
        <v>508</v>
      </c>
      <c r="B55" s="243">
        <f>IP_Data!F58</f>
        <v>80000</v>
      </c>
      <c r="C55" s="90">
        <v>1</v>
      </c>
      <c r="D55" s="142">
        <f t="shared" si="6"/>
        <v>80000</v>
      </c>
      <c r="E55" s="98">
        <f t="shared" si="7"/>
        <v>80000</v>
      </c>
      <c r="F55" s="109">
        <v>1</v>
      </c>
      <c r="G55" s="98">
        <v>0</v>
      </c>
      <c r="H55" s="43">
        <f t="shared" si="8"/>
        <v>480000</v>
      </c>
      <c r="I55" s="109" t="s">
        <v>107</v>
      </c>
    </row>
    <row r="56" spans="1:9" ht="15">
      <c r="A56" s="511" t="s">
        <v>509</v>
      </c>
      <c r="B56" s="243">
        <f>IP_Data!F71</f>
        <v>50000</v>
      </c>
      <c r="C56" s="90">
        <v>1</v>
      </c>
      <c r="D56" s="142">
        <f t="shared" si="6"/>
        <v>50000</v>
      </c>
      <c r="E56" s="98">
        <f t="shared" si="7"/>
        <v>50000</v>
      </c>
      <c r="F56" s="109">
        <v>1</v>
      </c>
      <c r="G56" s="98">
        <v>0</v>
      </c>
      <c r="H56" s="43">
        <f t="shared" si="8"/>
        <v>300000</v>
      </c>
      <c r="I56" s="109" t="s">
        <v>107</v>
      </c>
    </row>
    <row r="57" spans="1:9" ht="15">
      <c r="A57" s="511" t="s">
        <v>490</v>
      </c>
      <c r="B57" s="243">
        <v>50000</v>
      </c>
      <c r="C57" s="90">
        <v>1</v>
      </c>
      <c r="D57" s="142">
        <f t="shared" si="6"/>
        <v>50000</v>
      </c>
      <c r="E57" s="98">
        <f t="shared" si="7"/>
        <v>50000</v>
      </c>
      <c r="F57" s="109">
        <v>1</v>
      </c>
      <c r="G57" s="98">
        <v>0</v>
      </c>
      <c r="H57" s="43">
        <f t="shared" si="8"/>
        <v>300000</v>
      </c>
      <c r="I57" s="109" t="s">
        <v>107</v>
      </c>
    </row>
    <row r="58" spans="1:9" ht="15">
      <c r="A58" s="56" t="s">
        <v>151</v>
      </c>
      <c r="B58" s="246"/>
      <c r="C58" s="89"/>
      <c r="D58" s="95"/>
      <c r="E58" s="118">
        <f>SUM(E49:E52)</f>
        <v>1080000</v>
      </c>
      <c r="F58" s="111"/>
      <c r="G58" s="118">
        <f>SUM(G50:G52)</f>
        <v>0</v>
      </c>
      <c r="H58" s="118">
        <f>SUM(H49:H52)</f>
        <v>6480000</v>
      </c>
      <c r="I58" s="118" t="s">
        <v>25</v>
      </c>
    </row>
    <row r="59" spans="1:9" ht="15">
      <c r="A59" s="56"/>
      <c r="B59" s="246"/>
      <c r="C59" s="89"/>
      <c r="D59" s="95"/>
      <c r="E59" s="118"/>
      <c r="F59" s="111"/>
      <c r="G59" s="118"/>
      <c r="H59" s="118"/>
      <c r="I59" s="118"/>
    </row>
    <row r="60" spans="1:9" ht="15">
      <c r="A60" s="333" t="s">
        <v>510</v>
      </c>
      <c r="B60" s="52"/>
      <c r="C60" s="88"/>
      <c r="D60" s="97"/>
      <c r="E60" s="52"/>
      <c r="F60" s="116"/>
      <c r="G60" s="116"/>
      <c r="H60" s="52"/>
      <c r="I60" s="52"/>
    </row>
    <row r="61" spans="1:9" ht="15">
      <c r="A61" s="511" t="s">
        <v>511</v>
      </c>
      <c r="B61" s="243">
        <v>50000</v>
      </c>
      <c r="C61" s="90">
        <v>1</v>
      </c>
      <c r="D61" s="142">
        <v>300000</v>
      </c>
      <c r="E61" s="98">
        <f>H61/BudgetYears</f>
        <v>50000</v>
      </c>
      <c r="F61" s="109">
        <v>1</v>
      </c>
      <c r="G61" s="98">
        <v>0</v>
      </c>
      <c r="H61" s="43">
        <f>(B61*C61)*(BudgetYears/F61)</f>
        <v>300000</v>
      </c>
      <c r="I61" s="68"/>
    </row>
    <row r="62" spans="1:9" ht="15">
      <c r="A62" s="511" t="s">
        <v>512</v>
      </c>
      <c r="B62" s="243">
        <f>IP_Data!D159</f>
        <v>111440</v>
      </c>
      <c r="C62" s="90">
        <v>1</v>
      </c>
      <c r="D62" s="142">
        <f>E62/C62</f>
        <v>111440</v>
      </c>
      <c r="E62" s="98">
        <f>H62/BudgetYears</f>
        <v>111440</v>
      </c>
      <c r="F62" s="109">
        <v>1</v>
      </c>
      <c r="G62" s="98">
        <v>0</v>
      </c>
      <c r="H62" s="43">
        <f>(B62*C62)*(BudgetYears/F62)</f>
        <v>668640</v>
      </c>
      <c r="I62" s="128" t="s">
        <v>107</v>
      </c>
    </row>
    <row r="63" spans="1:9" ht="15">
      <c r="A63" s="511" t="s">
        <v>513</v>
      </c>
      <c r="B63" s="243">
        <f>IP_Data!D160</f>
        <v>111440</v>
      </c>
      <c r="C63" s="90">
        <v>1</v>
      </c>
      <c r="D63" s="142">
        <f>E63/C63</f>
        <v>111440</v>
      </c>
      <c r="E63" s="98">
        <f>H63/BudgetYears</f>
        <v>111440</v>
      </c>
      <c r="F63" s="109">
        <v>1</v>
      </c>
      <c r="G63" s="98">
        <v>0</v>
      </c>
      <c r="H63" s="43">
        <f>(B63*C63)*(BudgetYears/F63)</f>
        <v>668640</v>
      </c>
      <c r="I63" s="109" t="s">
        <v>107</v>
      </c>
    </row>
    <row r="64" spans="1:9" ht="15">
      <c r="A64" s="56" t="s">
        <v>151</v>
      </c>
      <c r="B64" s="246"/>
      <c r="C64" s="89"/>
      <c r="D64" s="95"/>
      <c r="E64" s="118">
        <f>SUM(E61:E63)</f>
        <v>272880</v>
      </c>
      <c r="F64" s="111"/>
      <c r="G64" s="118">
        <f>SUM(G62:G63)</f>
        <v>0</v>
      </c>
      <c r="H64" s="118">
        <f>SUM(H61:H63)</f>
        <v>1637280</v>
      </c>
      <c r="I64" s="118" t="s">
        <v>25</v>
      </c>
    </row>
    <row r="65" spans="1:9" ht="15">
      <c r="A65" s="64"/>
      <c r="B65" s="247"/>
      <c r="C65" s="90"/>
      <c r="D65" s="96"/>
      <c r="E65" s="66"/>
      <c r="F65" s="117"/>
      <c r="G65" s="117"/>
      <c r="H65" s="66"/>
      <c r="I65" s="66"/>
    </row>
    <row r="66" spans="1:9" ht="15">
      <c r="A66" s="84" t="s">
        <v>120</v>
      </c>
      <c r="B66" s="116"/>
      <c r="C66" s="88"/>
      <c r="D66" s="97"/>
      <c r="E66" s="52"/>
      <c r="F66" s="116"/>
      <c r="G66" s="116"/>
      <c r="H66" s="52"/>
      <c r="I66" s="52"/>
    </row>
    <row r="67" spans="1:9" ht="15">
      <c r="A67" s="511" t="s">
        <v>514</v>
      </c>
      <c r="B67" s="243">
        <v>75000</v>
      </c>
      <c r="C67" s="90">
        <v>1</v>
      </c>
      <c r="D67" s="142">
        <f>E67/C67</f>
        <v>75000</v>
      </c>
      <c r="E67" s="98">
        <f>H67/BudgetYears</f>
        <v>75000</v>
      </c>
      <c r="F67" s="109">
        <v>1</v>
      </c>
      <c r="G67" s="98">
        <v>0</v>
      </c>
      <c r="H67" s="43">
        <f>(B67*C67)*(BudgetYears/F67)</f>
        <v>450000</v>
      </c>
      <c r="I67" s="109" t="s">
        <v>107</v>
      </c>
    </row>
    <row r="68" spans="1:9" ht="15">
      <c r="A68" s="56" t="s">
        <v>151</v>
      </c>
      <c r="B68" s="246"/>
      <c r="C68" s="89"/>
      <c r="D68" s="95"/>
      <c r="E68" s="118">
        <f>SUM(E67:E67)</f>
        <v>75000</v>
      </c>
      <c r="F68" s="111"/>
      <c r="G68" s="118">
        <f>SUM(G67:G67)</f>
        <v>0</v>
      </c>
      <c r="H68" s="118">
        <f>SUM(H67:H67)</f>
        <v>450000</v>
      </c>
      <c r="I68" s="118" t="s">
        <v>25</v>
      </c>
    </row>
    <row r="69" ht="12.75">
      <c r="B69" s="103"/>
    </row>
    <row r="70" spans="1:9" ht="15">
      <c r="A70" s="84" t="s">
        <v>122</v>
      </c>
      <c r="B70" s="116"/>
      <c r="C70" s="88"/>
      <c r="D70" s="97"/>
      <c r="E70" s="52"/>
      <c r="F70" s="116"/>
      <c r="G70" s="116"/>
      <c r="H70" s="52"/>
      <c r="I70" s="52"/>
    </row>
    <row r="71" spans="1:9" ht="15">
      <c r="A71" s="511" t="s">
        <v>515</v>
      </c>
      <c r="B71" s="243">
        <f>IP_Data!D175</f>
        <v>994000</v>
      </c>
      <c r="C71" s="90">
        <v>1</v>
      </c>
      <c r="D71" s="142">
        <f>E71/C71</f>
        <v>994000</v>
      </c>
      <c r="E71" s="98">
        <f>H71/BudgetYears</f>
        <v>994000</v>
      </c>
      <c r="F71" s="109">
        <v>1</v>
      </c>
      <c r="G71" s="401">
        <v>0</v>
      </c>
      <c r="H71" s="43">
        <f>(B71*C71)*(BudgetYears/F71)</f>
        <v>5964000</v>
      </c>
      <c r="I71" s="128" t="s">
        <v>107</v>
      </c>
    </row>
    <row r="72" spans="1:9" ht="15">
      <c r="A72" s="511" t="str">
        <f>IP_Data!A116</f>
        <v>District Technology Planning / Project Management</v>
      </c>
      <c r="B72" s="243">
        <f>IP_Data!F117</f>
        <v>249600</v>
      </c>
      <c r="C72" s="90">
        <v>1</v>
      </c>
      <c r="D72" s="142">
        <f>E72/C72</f>
        <v>249600</v>
      </c>
      <c r="E72" s="98">
        <f>H72/BudgetYears</f>
        <v>249600</v>
      </c>
      <c r="F72" s="109">
        <v>1</v>
      </c>
      <c r="G72" s="98">
        <v>0</v>
      </c>
      <c r="H72" s="43">
        <f>(B72*C72)*(BudgetYears/F72)</f>
        <v>1497600</v>
      </c>
      <c r="I72" s="109" t="s">
        <v>107</v>
      </c>
    </row>
    <row r="73" spans="1:9" ht="15">
      <c r="A73" s="511" t="s">
        <v>490</v>
      </c>
      <c r="B73" s="243">
        <v>50000</v>
      </c>
      <c r="C73" s="90">
        <v>1</v>
      </c>
      <c r="D73" s="142">
        <f>E73/C73</f>
        <v>50000</v>
      </c>
      <c r="E73" s="98">
        <f>H73/BudgetYears</f>
        <v>50000</v>
      </c>
      <c r="F73" s="109">
        <v>1</v>
      </c>
      <c r="G73" s="98">
        <v>0</v>
      </c>
      <c r="H73" s="43">
        <f>(B73*C73)*(BudgetYears/F73)</f>
        <v>300000</v>
      </c>
      <c r="I73" s="109" t="s">
        <v>107</v>
      </c>
    </row>
    <row r="74" spans="1:9" ht="15">
      <c r="A74" s="56" t="s">
        <v>151</v>
      </c>
      <c r="B74" s="57"/>
      <c r="C74" s="89"/>
      <c r="D74" s="95"/>
      <c r="E74" s="118">
        <f>SUM(E71:E72)</f>
        <v>1243600</v>
      </c>
      <c r="F74" s="111"/>
      <c r="G74" s="118">
        <f>SUM(G72:G72)</f>
        <v>0</v>
      </c>
      <c r="H74" s="118">
        <f>SUM(H71:H72)</f>
        <v>7461600</v>
      </c>
      <c r="I74" s="118" t="s">
        <v>25</v>
      </c>
    </row>
    <row r="75" ht="12.75">
      <c r="E75" s="103"/>
    </row>
    <row r="76" ht="12.75">
      <c r="E76" s="103"/>
    </row>
    <row r="77" spans="1:8" ht="16.5">
      <c r="A77" s="249" t="s">
        <v>516</v>
      </c>
      <c r="E77" s="248">
        <f>E74+E68+E64+E46+E38+E31+E22+E14+E58</f>
        <v>11736063.95</v>
      </c>
      <c r="G77" s="248">
        <f>G74+G68+G64+G46+G38+G31+G22+G14+G58</f>
        <v>2183743.0649999995</v>
      </c>
      <c r="H77" s="248">
        <f>H74+H68+H64+H46+H38+H31+H22+H14</f>
        <v>46932889.2</v>
      </c>
    </row>
  </sheetData>
  <sheetProtection/>
  <printOptions/>
  <pageMargins left="0.79" right="0.46" top="1.03" bottom="0.34" header="0.4" footer="0.19"/>
  <pageSetup horizontalDpi="600" verticalDpi="600" orientation="landscape" scale="70" r:id="rId3"/>
  <headerFooter alignWithMargins="0">
    <oddHeader>&amp;C&amp;"MS Sans Serif,Bold"&amp;13Master Plan for Education Technology
2001-2006
State Shared Services Detail</oddHeader>
  </headerFooter>
  <rowBreaks count="1" manualBreakCount="1">
    <brk id="38" max="65535" man="1"/>
  </rowBreaks>
  <legacyDrawing r:id="rId2"/>
</worksheet>
</file>

<file path=xl/worksheets/sheet9.xml><?xml version="1.0" encoding="utf-8"?>
<worksheet xmlns="http://schemas.openxmlformats.org/spreadsheetml/2006/main" xmlns:r="http://schemas.openxmlformats.org/officeDocument/2006/relationships">
  <dimension ref="A1:F175"/>
  <sheetViews>
    <sheetView zoomScalePageLayoutView="0" workbookViewId="0" topLeftCell="A154">
      <selection activeCell="A105" sqref="A105"/>
    </sheetView>
  </sheetViews>
  <sheetFormatPr defaultColWidth="9.140625" defaultRowHeight="12.75"/>
  <cols>
    <col min="1" max="1" width="58.8515625" style="0" customWidth="1"/>
    <col min="2" max="2" width="13.57421875" style="0" customWidth="1"/>
    <col min="3" max="3" width="10.421875" style="0" customWidth="1"/>
    <col min="4" max="4" width="16.28125" style="0" customWidth="1"/>
    <col min="5" max="5" width="16.421875" style="0" customWidth="1"/>
    <col min="6" max="6" width="12.28125" style="0" customWidth="1"/>
    <col min="7" max="7" width="15.140625" style="0" customWidth="1"/>
    <col min="8" max="8" width="15.421875" style="0" customWidth="1"/>
    <col min="9" max="9" width="9.57421875" style="0" customWidth="1"/>
    <col min="10" max="27" width="0" style="0" hidden="1" customWidth="1"/>
  </cols>
  <sheetData>
    <row r="1" ht="12.75">
      <c r="A1" s="147" t="s">
        <v>517</v>
      </c>
    </row>
    <row r="3" spans="1:6" ht="15.75">
      <c r="A3" s="260" t="s">
        <v>518</v>
      </c>
      <c r="B3" s="251"/>
      <c r="C3" s="261"/>
      <c r="D3" s="262"/>
      <c r="E3" s="262"/>
      <c r="F3" s="263"/>
    </row>
    <row r="4" spans="1:6" ht="12.75">
      <c r="A4" s="265"/>
      <c r="C4" s="264"/>
      <c r="D4" s="266" t="s">
        <v>519</v>
      </c>
      <c r="E4" s="267" t="s">
        <v>520</v>
      </c>
      <c r="F4" s="268" t="s">
        <v>151</v>
      </c>
    </row>
    <row r="5" spans="1:6" ht="12.75">
      <c r="A5" s="265"/>
      <c r="C5" s="256"/>
      <c r="D5" s="269" t="e">
        <f>SUM(D7+D13+D25+D27+D30+#REF!+D34+#REF!+D42+D44)</f>
        <v>#REF!</v>
      </c>
      <c r="E5" s="269" t="e">
        <f>SUM(E7+E13+E25+E27+E30+#REF!+E34+#REF!+E42+E44)</f>
        <v>#REF!</v>
      </c>
      <c r="F5" s="269" t="e">
        <f>SUM(F7+F13+F25+F27+F30+#REF!+F34+#REF!+F42+F44)</f>
        <v>#REF!</v>
      </c>
    </row>
    <row r="6" spans="1:6" ht="12.75">
      <c r="A6" s="265"/>
      <c r="C6" s="256"/>
      <c r="D6" s="270"/>
      <c r="E6" s="271"/>
      <c r="F6" s="272"/>
    </row>
    <row r="7" spans="1:6" ht="12.75">
      <c r="A7" s="265" t="s">
        <v>521</v>
      </c>
      <c r="B7" s="265"/>
      <c r="C7" s="264"/>
      <c r="D7" s="273">
        <f>SUM(D8:D10)</f>
        <v>147000</v>
      </c>
      <c r="E7" s="273">
        <f>SUM(E8:E10)</f>
        <v>99000</v>
      </c>
      <c r="F7" s="273">
        <f>SUM(F8:F10)</f>
        <v>246000</v>
      </c>
    </row>
    <row r="8" spans="1:6" ht="12.75">
      <c r="A8" s="265"/>
      <c r="C8" s="256" t="s">
        <v>522</v>
      </c>
      <c r="D8" s="274">
        <v>82000</v>
      </c>
      <c r="E8" s="275">
        <v>0</v>
      </c>
      <c r="F8" s="276">
        <f>SUM(D8:E8)</f>
        <v>82000</v>
      </c>
    </row>
    <row r="9" spans="1:6" ht="12.75">
      <c r="A9" s="265"/>
      <c r="C9" s="256" t="s">
        <v>523</v>
      </c>
      <c r="D9" s="274">
        <v>0</v>
      </c>
      <c r="E9" s="275">
        <f>SUM((69000+(150*100)))</f>
        <v>84000</v>
      </c>
      <c r="F9" s="276">
        <f>SUM(D9:E9)</f>
        <v>84000</v>
      </c>
    </row>
    <row r="10" spans="1:6" ht="12.75">
      <c r="A10" s="265"/>
      <c r="C10" s="256" t="s">
        <v>524</v>
      </c>
      <c r="D10" s="274">
        <v>65000</v>
      </c>
      <c r="E10" s="275">
        <v>15000</v>
      </c>
      <c r="F10" s="276">
        <f>SUM(D10:E10)</f>
        <v>80000</v>
      </c>
    </row>
    <row r="11" spans="1:6" ht="12.75">
      <c r="A11" s="265"/>
      <c r="C11" s="256"/>
      <c r="D11" s="274"/>
      <c r="E11" s="275"/>
      <c r="F11" s="276"/>
    </row>
    <row r="12" spans="1:6" ht="12.75">
      <c r="A12" s="265"/>
      <c r="C12" s="256"/>
      <c r="D12" s="274"/>
      <c r="E12" s="275"/>
      <c r="F12" s="277"/>
    </row>
    <row r="13" spans="1:6" ht="12.75">
      <c r="A13" s="265" t="s">
        <v>501</v>
      </c>
      <c r="C13" s="256"/>
      <c r="D13" s="273">
        <f>SUM(D14:D19)</f>
        <v>421870</v>
      </c>
      <c r="E13" s="273">
        <f>SUM(E14:E19)</f>
        <v>58000</v>
      </c>
      <c r="F13" s="273">
        <f>SUM(F14:F19)</f>
        <v>479870</v>
      </c>
    </row>
    <row r="14" spans="1:6" ht="12.75">
      <c r="A14" s="265"/>
      <c r="C14" s="256" t="s">
        <v>525</v>
      </c>
      <c r="D14" s="274">
        <f>SUM(67400+(67400*0.05))</f>
        <v>70770</v>
      </c>
      <c r="E14" s="275">
        <v>2000</v>
      </c>
      <c r="F14" s="278">
        <f aca="true" t="shared" si="0" ref="F14:F19">SUM(D14:E14)</f>
        <v>72770</v>
      </c>
    </row>
    <row r="15" spans="1:6" ht="12.75">
      <c r="A15" s="265"/>
      <c r="C15" s="256" t="s">
        <v>526</v>
      </c>
      <c r="D15" s="274">
        <v>109200</v>
      </c>
      <c r="E15" s="275">
        <v>2000</v>
      </c>
      <c r="F15" s="278">
        <f t="shared" si="0"/>
        <v>111200</v>
      </c>
    </row>
    <row r="16" spans="1:6" ht="12.75">
      <c r="A16" s="265"/>
      <c r="C16" s="256" t="s">
        <v>527</v>
      </c>
      <c r="D16" s="274">
        <f>SUM(2100*48)</f>
        <v>100800</v>
      </c>
      <c r="E16" s="275">
        <v>2000</v>
      </c>
      <c r="F16" s="276">
        <f t="shared" si="0"/>
        <v>102800</v>
      </c>
    </row>
    <row r="17" spans="1:6" ht="12.75">
      <c r="A17" s="265"/>
      <c r="C17" s="256" t="s">
        <v>528</v>
      </c>
      <c r="D17" s="274">
        <f>SUM(2100*41)</f>
        <v>86100</v>
      </c>
      <c r="E17" s="275">
        <v>0</v>
      </c>
      <c r="F17" s="278">
        <f t="shared" si="0"/>
        <v>86100</v>
      </c>
    </row>
    <row r="18" spans="1:6" ht="12.75">
      <c r="A18" s="265"/>
      <c r="C18" s="256" t="s">
        <v>529</v>
      </c>
      <c r="D18" s="284">
        <v>55000</v>
      </c>
      <c r="E18" s="275">
        <v>2000</v>
      </c>
      <c r="F18" s="278">
        <f t="shared" si="0"/>
        <v>57000</v>
      </c>
    </row>
    <row r="19" spans="1:6" ht="12.75">
      <c r="A19" s="265"/>
      <c r="C19" s="256" t="s">
        <v>530</v>
      </c>
      <c r="D19" s="274">
        <v>0</v>
      </c>
      <c r="E19" s="275">
        <v>50000</v>
      </c>
      <c r="F19" s="276">
        <f t="shared" si="0"/>
        <v>50000</v>
      </c>
    </row>
    <row r="20" spans="1:6" ht="12.75">
      <c r="A20" s="265"/>
      <c r="C20" s="256"/>
      <c r="D20" s="274"/>
      <c r="E20" s="275"/>
      <c r="F20" s="271"/>
    </row>
    <row r="21" spans="1:6" ht="12.75">
      <c r="A21" s="265" t="s">
        <v>531</v>
      </c>
      <c r="C21" s="256"/>
      <c r="D21" s="279">
        <f>SUM(D22:D23)</f>
        <v>0</v>
      </c>
      <c r="E21" s="279">
        <f>SUM(E22:E23)</f>
        <v>654985</v>
      </c>
      <c r="F21" s="279">
        <f>SUM(F22:F23)</f>
        <v>654985</v>
      </c>
    </row>
    <row r="22" spans="1:6" ht="12.75">
      <c r="A22" s="265"/>
      <c r="C22" s="256" t="s">
        <v>532</v>
      </c>
      <c r="D22" s="274">
        <v>0</v>
      </c>
      <c r="E22" s="280">
        <v>491835</v>
      </c>
      <c r="F22" s="276">
        <f>SUM(D22:E22)</f>
        <v>491835</v>
      </c>
    </row>
    <row r="23" spans="1:6" ht="12.75">
      <c r="A23" s="265"/>
      <c r="C23" s="256" t="s">
        <v>533</v>
      </c>
      <c r="D23" s="281" t="s">
        <v>534</v>
      </c>
      <c r="E23" s="282">
        <v>163150</v>
      </c>
      <c r="F23" s="283">
        <f>SUM(D23:E23)</f>
        <v>163150</v>
      </c>
    </row>
    <row r="24" spans="1:6" ht="12.75">
      <c r="A24" s="265"/>
      <c r="C24" s="256"/>
      <c r="D24" s="274"/>
      <c r="E24" s="275"/>
      <c r="F24" s="276"/>
    </row>
    <row r="25" spans="1:6" ht="12.75">
      <c r="A25" s="265" t="s">
        <v>535</v>
      </c>
      <c r="B25" s="265"/>
      <c r="C25" s="264"/>
      <c r="D25" s="273">
        <f>SUM(D18)</f>
        <v>55000</v>
      </c>
      <c r="E25" s="273">
        <f>SUM(E18)</f>
        <v>2000</v>
      </c>
      <c r="F25" s="273">
        <f>SUM(F18)</f>
        <v>57000</v>
      </c>
    </row>
    <row r="26" spans="1:6" ht="12.75">
      <c r="A26" s="265"/>
      <c r="C26" s="256"/>
      <c r="D26" s="284"/>
      <c r="E26" s="275"/>
      <c r="F26" s="272"/>
    </row>
    <row r="27" spans="1:6" ht="12.75">
      <c r="A27" s="265" t="s">
        <v>536</v>
      </c>
      <c r="C27" s="256"/>
      <c r="D27" s="273">
        <f>SUM(D28)</f>
        <v>0</v>
      </c>
      <c r="E27" s="273">
        <f>SUM(E28)</f>
        <v>0</v>
      </c>
      <c r="F27" s="273">
        <f>SUM(F28)</f>
        <v>0</v>
      </c>
    </row>
    <row r="28" spans="1:6" ht="12.75">
      <c r="A28" s="265"/>
      <c r="C28" s="256" t="s">
        <v>537</v>
      </c>
      <c r="D28" s="274">
        <v>0</v>
      </c>
      <c r="E28" s="275">
        <v>0</v>
      </c>
      <c r="F28" s="278">
        <f>SUM(D28:E28)</f>
        <v>0</v>
      </c>
    </row>
    <row r="29" spans="1:6" ht="12.75">
      <c r="A29" s="265"/>
      <c r="C29" s="256"/>
      <c r="D29" s="274"/>
      <c r="E29" s="275"/>
      <c r="F29" s="272"/>
    </row>
    <row r="30" spans="1:6" ht="12.75">
      <c r="A30" s="265" t="s">
        <v>538</v>
      </c>
      <c r="C30" s="256"/>
      <c r="D30" s="285">
        <f>SUM(D31:D31)</f>
        <v>100800</v>
      </c>
      <c r="E30" s="285">
        <f>SUM(E31:E31)</f>
        <v>6000</v>
      </c>
      <c r="F30" s="285">
        <f>SUM(F31:F31)</f>
        <v>106800</v>
      </c>
    </row>
    <row r="31" spans="1:6" ht="12.75">
      <c r="A31" s="265"/>
      <c r="C31" s="256" t="s">
        <v>539</v>
      </c>
      <c r="D31" s="274">
        <f>SUM(2100*48)</f>
        <v>100800</v>
      </c>
      <c r="E31" s="275">
        <v>6000</v>
      </c>
      <c r="F31" s="276">
        <f>SUM(D31:E31)</f>
        <v>106800</v>
      </c>
    </row>
    <row r="32" spans="1:6" ht="12.75">
      <c r="A32" s="265"/>
      <c r="C32" s="256"/>
      <c r="D32" s="274"/>
      <c r="E32" s="275"/>
      <c r="F32" s="277"/>
    </row>
    <row r="33" spans="1:6" ht="12.75">
      <c r="A33" s="265"/>
      <c r="C33" s="256"/>
      <c r="D33" s="274"/>
      <c r="E33" s="275"/>
      <c r="F33" s="280"/>
    </row>
    <row r="34" spans="1:6" ht="12.75">
      <c r="A34" s="265" t="s">
        <v>540</v>
      </c>
      <c r="C34" s="256"/>
      <c r="D34" s="285">
        <f>SUM(D36:D40)</f>
        <v>296750</v>
      </c>
      <c r="E34" s="285">
        <f>SUM(E36:E37)</f>
        <v>0</v>
      </c>
      <c r="F34" s="285">
        <f>SUM(F36:F40)</f>
        <v>303750</v>
      </c>
    </row>
    <row r="35" spans="1:6" ht="12.75">
      <c r="A35" s="265"/>
      <c r="C35" s="256" t="s">
        <v>541</v>
      </c>
      <c r="D35" s="274">
        <v>130000</v>
      </c>
      <c r="E35" s="399"/>
      <c r="F35" s="275">
        <f>D35</f>
        <v>130000</v>
      </c>
    </row>
    <row r="36" spans="1:6" ht="12.75">
      <c r="A36" s="265"/>
      <c r="C36" s="256" t="s">
        <v>542</v>
      </c>
      <c r="D36" s="274">
        <f>SUM(57000+(57000*0.05))</f>
        <v>59850</v>
      </c>
      <c r="E36" s="275">
        <v>0</v>
      </c>
      <c r="F36" s="278">
        <f>SUM(D36:E36)</f>
        <v>59850</v>
      </c>
    </row>
    <row r="37" spans="1:6" ht="12.75">
      <c r="A37" s="265"/>
      <c r="C37" s="256" t="s">
        <v>543</v>
      </c>
      <c r="D37" s="274">
        <f>SUM(2100*48)</f>
        <v>100800</v>
      </c>
      <c r="E37" s="275">
        <v>0</v>
      </c>
      <c r="F37" s="278">
        <f>SUM(D37:E37)</f>
        <v>100800</v>
      </c>
    </row>
    <row r="38" spans="1:6" ht="12.75">
      <c r="A38" s="265"/>
      <c r="C38" s="256" t="s">
        <v>544</v>
      </c>
      <c r="D38" s="274"/>
      <c r="E38" s="275">
        <v>5000</v>
      </c>
      <c r="F38" s="278">
        <f>SUM(D38:E38)</f>
        <v>5000</v>
      </c>
    </row>
    <row r="39" spans="1:6" ht="12.75">
      <c r="A39" s="265"/>
      <c r="C39" s="256" t="s">
        <v>545</v>
      </c>
      <c r="D39" s="274">
        <v>86100</v>
      </c>
      <c r="E39" s="275">
        <v>2000</v>
      </c>
      <c r="F39" s="278">
        <f>SUM(D39:E39)</f>
        <v>88100</v>
      </c>
    </row>
    <row r="40" spans="1:6" ht="12.75">
      <c r="A40" s="265"/>
      <c r="C40" s="256" t="s">
        <v>530</v>
      </c>
      <c r="D40" s="274">
        <v>50000</v>
      </c>
      <c r="E40" s="275">
        <v>0</v>
      </c>
      <c r="F40" s="278">
        <f>SUM(D40:E40)</f>
        <v>50000</v>
      </c>
    </row>
    <row r="41" spans="1:6" ht="12.75">
      <c r="A41" s="265"/>
      <c r="C41" s="256"/>
      <c r="D41" s="274"/>
      <c r="E41" s="275"/>
      <c r="F41" s="271"/>
    </row>
    <row r="42" spans="1:6" ht="12.75">
      <c r="A42" s="265" t="s">
        <v>490</v>
      </c>
      <c r="B42" s="229"/>
      <c r="C42" s="256"/>
      <c r="D42" s="273">
        <v>0</v>
      </c>
      <c r="E42" s="273">
        <v>85000</v>
      </c>
      <c r="F42" s="273">
        <v>85000</v>
      </c>
    </row>
    <row r="43" spans="1:6" ht="12.75">
      <c r="A43" s="265"/>
      <c r="B43" s="229"/>
      <c r="C43" s="256"/>
      <c r="D43" s="274"/>
      <c r="E43" s="275"/>
      <c r="F43" s="286"/>
    </row>
    <row r="44" spans="1:6" ht="12.75">
      <c r="A44" s="265" t="s">
        <v>546</v>
      </c>
      <c r="B44" s="229"/>
      <c r="C44" s="265"/>
      <c r="D44" s="229">
        <v>0</v>
      </c>
      <c r="E44" s="273">
        <f>SUM(E45)</f>
        <v>415000</v>
      </c>
      <c r="F44" s="273">
        <f>SUM(F45)</f>
        <v>415000</v>
      </c>
    </row>
    <row r="45" spans="1:6" ht="12.75">
      <c r="A45" s="265"/>
      <c r="B45" s="229"/>
      <c r="C45" s="256"/>
      <c r="D45" s="274">
        <v>0</v>
      </c>
      <c r="E45" s="275">
        <v>415000</v>
      </c>
      <c r="F45" s="278">
        <f>E45+D45</f>
        <v>415000</v>
      </c>
    </row>
    <row r="46" spans="1:6" ht="12.75">
      <c r="A46" s="265"/>
      <c r="B46" s="229"/>
      <c r="C46" s="256"/>
      <c r="D46" s="274"/>
      <c r="E46" s="275"/>
      <c r="F46" s="272"/>
    </row>
    <row r="48" spans="4:6" ht="12.75">
      <c r="D48" s="288" t="s">
        <v>547</v>
      </c>
      <c r="E48" s="289"/>
      <c r="F48" s="290"/>
    </row>
    <row r="49" spans="1:6" ht="15.75">
      <c r="A49" s="251" t="s">
        <v>548</v>
      </c>
      <c r="B49" s="251"/>
      <c r="C49" s="261"/>
      <c r="D49" s="273" t="s">
        <v>549</v>
      </c>
      <c r="E49" s="291" t="s">
        <v>520</v>
      </c>
      <c r="F49" s="292" t="s">
        <v>151</v>
      </c>
    </row>
    <row r="50" spans="1:6" ht="12.75">
      <c r="A50" s="265"/>
      <c r="B50" s="265"/>
      <c r="C50" s="264"/>
      <c r="D50" s="293">
        <f>SUM(D52+D58+D65+D71+D73+D80+D82+D91+D93+D95)</f>
        <v>1295165</v>
      </c>
      <c r="E50" s="293">
        <f>SUM(E52+E58+E65+E71+E73+E80+E82+E91+E93+E95)</f>
        <v>600000</v>
      </c>
      <c r="F50" s="293">
        <f>SUM(D50:E50)</f>
        <v>1895165</v>
      </c>
    </row>
    <row r="51" spans="3:6" ht="12.75">
      <c r="C51" s="256"/>
      <c r="D51" s="293"/>
      <c r="E51" s="280"/>
      <c r="F51" s="294"/>
    </row>
    <row r="52" spans="1:6" ht="12.75">
      <c r="A52" s="265" t="s">
        <v>550</v>
      </c>
      <c r="B52" s="265"/>
      <c r="C52" s="264"/>
      <c r="D52" s="273">
        <f>SUM(D53:D56)</f>
        <v>0</v>
      </c>
      <c r="E52" s="273">
        <f>SUM(E53:E56)</f>
        <v>90000</v>
      </c>
      <c r="F52" s="295">
        <f>SUM(D52:E52)</f>
        <v>90000</v>
      </c>
    </row>
    <row r="53" spans="1:6" ht="12.75">
      <c r="A53" s="265"/>
      <c r="B53" s="265"/>
      <c r="C53" s="296" t="s">
        <v>551</v>
      </c>
      <c r="D53" s="273">
        <v>0</v>
      </c>
      <c r="E53" s="275">
        <v>75000</v>
      </c>
      <c r="F53" s="297">
        <f>SUM(D53:E53)</f>
        <v>75000</v>
      </c>
    </row>
    <row r="54" spans="1:6" ht="12.75">
      <c r="A54" s="265"/>
      <c r="B54" s="265"/>
      <c r="C54" s="296" t="s">
        <v>552</v>
      </c>
      <c r="D54" s="273">
        <v>0</v>
      </c>
      <c r="E54" s="275">
        <v>5000</v>
      </c>
      <c r="F54" s="297">
        <f>SUM(D54:E54)</f>
        <v>5000</v>
      </c>
    </row>
    <row r="55" spans="1:6" ht="12.75">
      <c r="A55" s="265"/>
      <c r="C55" s="296" t="s">
        <v>553</v>
      </c>
      <c r="D55" s="274">
        <v>0</v>
      </c>
      <c r="E55" s="275">
        <v>7500</v>
      </c>
      <c r="F55" s="297">
        <f>SUM(D55:E55)</f>
        <v>7500</v>
      </c>
    </row>
    <row r="56" spans="1:6" ht="12.75">
      <c r="A56" s="265"/>
      <c r="C56" s="296" t="s">
        <v>554</v>
      </c>
      <c r="D56" s="274">
        <v>0</v>
      </c>
      <c r="E56" s="275">
        <v>2500</v>
      </c>
      <c r="F56" s="297">
        <f>SUM(D56:E56)</f>
        <v>2500</v>
      </c>
    </row>
    <row r="57" spans="1:6" ht="12.75">
      <c r="A57" s="265"/>
      <c r="C57" s="296"/>
      <c r="D57" s="274"/>
      <c r="E57" s="275"/>
      <c r="F57" s="297"/>
    </row>
    <row r="58" spans="1:6" ht="12.75">
      <c r="A58" s="265" t="s">
        <v>555</v>
      </c>
      <c r="C58" s="256"/>
      <c r="D58" s="273">
        <v>0</v>
      </c>
      <c r="E58" s="271">
        <v>80000</v>
      </c>
      <c r="F58" s="295">
        <f>SUM(D58:E58)</f>
        <v>80000</v>
      </c>
    </row>
    <row r="59" spans="1:6" ht="12.75">
      <c r="A59" s="265"/>
      <c r="C59" s="256" t="s">
        <v>556</v>
      </c>
      <c r="D59" s="273"/>
      <c r="E59" s="271"/>
      <c r="F59" s="295"/>
    </row>
    <row r="60" spans="1:6" ht="12.75">
      <c r="A60" s="265"/>
      <c r="C60" s="256" t="s">
        <v>557</v>
      </c>
      <c r="D60" s="273"/>
      <c r="E60" s="271"/>
      <c r="F60" s="295"/>
    </row>
    <row r="61" spans="1:6" ht="12.75">
      <c r="A61" s="265"/>
      <c r="C61" s="256" t="s">
        <v>558</v>
      </c>
      <c r="D61" s="273"/>
      <c r="E61" s="271"/>
      <c r="F61" s="295"/>
    </row>
    <row r="62" spans="1:6" ht="12.75">
      <c r="A62" s="265"/>
      <c r="C62" s="256"/>
      <c r="D62" s="273"/>
      <c r="E62" s="271"/>
      <c r="F62" s="295"/>
    </row>
    <row r="63" spans="1:6" ht="12.75">
      <c r="A63" s="265"/>
      <c r="C63" s="256"/>
      <c r="D63" s="274"/>
      <c r="E63" s="280"/>
      <c r="F63" s="297"/>
    </row>
    <row r="64" spans="1:6" ht="12.75">
      <c r="A64" s="265"/>
      <c r="C64" s="256"/>
      <c r="D64" s="274"/>
      <c r="E64" s="280"/>
      <c r="F64" s="297"/>
    </row>
    <row r="65" spans="1:6" ht="12.75">
      <c r="A65" s="265" t="s">
        <v>559</v>
      </c>
      <c r="C65" s="256"/>
      <c r="D65" s="270">
        <f>SUM(D66:D69)</f>
        <v>0</v>
      </c>
      <c r="E65" s="270">
        <f>SUM(E66:E69)</f>
        <v>40000</v>
      </c>
      <c r="F65" s="270">
        <f>SUM(F66:F69)</f>
        <v>40000</v>
      </c>
    </row>
    <row r="66" spans="1:6" ht="12.75">
      <c r="A66" s="265"/>
      <c r="C66" s="256" t="s">
        <v>560</v>
      </c>
      <c r="D66" s="284">
        <v>0</v>
      </c>
      <c r="E66" s="280">
        <v>5000</v>
      </c>
      <c r="F66" s="297">
        <f>SUM(D66:E66)</f>
        <v>5000</v>
      </c>
    </row>
    <row r="67" spans="1:6" ht="12.75">
      <c r="A67" s="265"/>
      <c r="C67" s="256" t="s">
        <v>561</v>
      </c>
      <c r="D67" s="284">
        <v>0</v>
      </c>
      <c r="E67" s="280">
        <v>15000</v>
      </c>
      <c r="F67" s="297">
        <f>SUM(D67:E67)</f>
        <v>15000</v>
      </c>
    </row>
    <row r="68" spans="1:6" ht="12.75">
      <c r="A68" s="265"/>
      <c r="C68" s="256" t="s">
        <v>562</v>
      </c>
      <c r="D68" s="284">
        <v>0</v>
      </c>
      <c r="E68" s="280">
        <v>5000</v>
      </c>
      <c r="F68" s="297">
        <f>SUM(D68:E68)</f>
        <v>5000</v>
      </c>
    </row>
    <row r="69" spans="1:6" ht="12.75">
      <c r="A69" s="265"/>
      <c r="C69" s="256" t="s">
        <v>563</v>
      </c>
      <c r="D69" s="284">
        <v>0</v>
      </c>
      <c r="E69" s="280">
        <v>15000</v>
      </c>
      <c r="F69" s="297">
        <f>SUM(D69:E69)</f>
        <v>15000</v>
      </c>
    </row>
    <row r="70" spans="1:6" ht="12.75">
      <c r="A70" s="265"/>
      <c r="C70" s="256"/>
      <c r="D70" s="284"/>
      <c r="E70" s="280"/>
      <c r="F70" s="298"/>
    </row>
    <row r="71" spans="1:6" ht="12.75">
      <c r="A71" s="265" t="s">
        <v>564</v>
      </c>
      <c r="C71" s="256"/>
      <c r="D71" s="270">
        <v>0</v>
      </c>
      <c r="E71" s="270">
        <v>50000</v>
      </c>
      <c r="F71" s="270">
        <v>50000</v>
      </c>
    </row>
    <row r="72" spans="1:6" ht="12.75">
      <c r="A72" s="265"/>
      <c r="C72" s="256"/>
      <c r="D72" s="274"/>
      <c r="E72" s="280"/>
      <c r="F72" s="297"/>
    </row>
    <row r="73" spans="1:6" ht="12.75">
      <c r="A73" s="265" t="s">
        <v>565</v>
      </c>
      <c r="C73" s="256"/>
      <c r="D73" s="270">
        <f>SUM(D74:D78)</f>
        <v>0</v>
      </c>
      <c r="E73" s="270">
        <f>SUM(E74:E78)</f>
        <v>75000</v>
      </c>
      <c r="F73" s="270">
        <f>SUM(F74:F78)</f>
        <v>75000</v>
      </c>
    </row>
    <row r="74" spans="1:6" ht="12.75">
      <c r="A74" s="265"/>
      <c r="C74" s="256" t="s">
        <v>566</v>
      </c>
      <c r="D74" s="270">
        <v>0</v>
      </c>
      <c r="E74" s="280">
        <v>5000</v>
      </c>
      <c r="F74" s="280">
        <f>SUM(D74:E74)</f>
        <v>5000</v>
      </c>
    </row>
    <row r="75" spans="1:6" ht="12.75">
      <c r="A75" s="265"/>
      <c r="C75" s="256" t="s">
        <v>567</v>
      </c>
      <c r="D75" s="270">
        <v>0</v>
      </c>
      <c r="E75" s="280">
        <v>20000</v>
      </c>
      <c r="F75" s="280">
        <f aca="true" t="shared" si="1" ref="F75:F93">SUM(D75:E75)</f>
        <v>20000</v>
      </c>
    </row>
    <row r="76" spans="1:6" ht="12.75">
      <c r="A76" s="265"/>
      <c r="C76" s="256" t="s">
        <v>568</v>
      </c>
      <c r="D76" s="270">
        <v>0</v>
      </c>
      <c r="E76" s="280">
        <v>25000</v>
      </c>
      <c r="F76" s="280">
        <f t="shared" si="1"/>
        <v>25000</v>
      </c>
    </row>
    <row r="77" spans="1:6" ht="12.75">
      <c r="A77" s="265"/>
      <c r="C77" s="256" t="s">
        <v>569</v>
      </c>
      <c r="D77" s="270">
        <v>0</v>
      </c>
      <c r="E77" s="280">
        <v>20000</v>
      </c>
      <c r="F77" s="280">
        <f t="shared" si="1"/>
        <v>20000</v>
      </c>
    </row>
    <row r="78" spans="1:6" ht="12.75">
      <c r="A78" s="265"/>
      <c r="C78" s="256" t="s">
        <v>570</v>
      </c>
      <c r="D78" s="270">
        <v>0</v>
      </c>
      <c r="E78" s="280">
        <v>5000</v>
      </c>
      <c r="F78" s="280">
        <f t="shared" si="1"/>
        <v>5000</v>
      </c>
    </row>
    <row r="79" spans="1:6" ht="12.75">
      <c r="A79" s="265"/>
      <c r="C79" s="256"/>
      <c r="D79" s="274"/>
      <c r="E79" s="280"/>
      <c r="F79" s="297"/>
    </row>
    <row r="80" spans="1:6" ht="12.75">
      <c r="A80" s="265" t="s">
        <v>571</v>
      </c>
      <c r="C80" s="256"/>
      <c r="D80" s="273">
        <v>0</v>
      </c>
      <c r="E80" s="271">
        <v>20000</v>
      </c>
      <c r="F80" s="271">
        <f t="shared" si="1"/>
        <v>20000</v>
      </c>
    </row>
    <row r="81" spans="1:6" ht="12.75">
      <c r="A81" s="265"/>
      <c r="C81" s="256"/>
      <c r="D81" s="274"/>
      <c r="E81" s="280"/>
      <c r="F81" s="280"/>
    </row>
    <row r="82" spans="1:6" ht="12.75">
      <c r="A82" s="265" t="s">
        <v>572</v>
      </c>
      <c r="C82" s="256"/>
      <c r="D82" s="273">
        <f>SUM(D83:D88)</f>
        <v>0</v>
      </c>
      <c r="E82" s="273">
        <f>SUM(E83:E89)</f>
        <v>140000</v>
      </c>
      <c r="F82" s="271">
        <f t="shared" si="1"/>
        <v>140000</v>
      </c>
    </row>
    <row r="83" spans="1:6" ht="12.75">
      <c r="A83" s="265"/>
      <c r="C83" s="256" t="s">
        <v>573</v>
      </c>
      <c r="D83" s="274">
        <v>0</v>
      </c>
      <c r="E83" s="280">
        <v>5000</v>
      </c>
      <c r="F83" s="280">
        <f t="shared" si="1"/>
        <v>5000</v>
      </c>
    </row>
    <row r="84" spans="1:6" ht="12.75">
      <c r="A84" s="265"/>
      <c r="C84" s="256" t="s">
        <v>574</v>
      </c>
      <c r="D84" s="274">
        <v>0</v>
      </c>
      <c r="E84" s="280">
        <v>20000</v>
      </c>
      <c r="F84" s="280">
        <f t="shared" si="1"/>
        <v>20000</v>
      </c>
    </row>
    <row r="85" spans="1:6" ht="12.75">
      <c r="A85" s="265"/>
      <c r="C85" s="256" t="s">
        <v>575</v>
      </c>
      <c r="D85" s="274">
        <v>0</v>
      </c>
      <c r="E85" s="280">
        <v>25000</v>
      </c>
      <c r="F85" s="280">
        <f t="shared" si="1"/>
        <v>25000</v>
      </c>
    </row>
    <row r="86" spans="1:6" ht="12.75">
      <c r="A86" s="265"/>
      <c r="C86" s="256" t="s">
        <v>576</v>
      </c>
      <c r="D86" s="274">
        <v>0</v>
      </c>
      <c r="E86" s="280">
        <v>30000</v>
      </c>
      <c r="F86" s="280">
        <f t="shared" si="1"/>
        <v>30000</v>
      </c>
    </row>
    <row r="87" spans="1:6" ht="12.75">
      <c r="A87" s="265"/>
      <c r="C87" s="256" t="s">
        <v>574</v>
      </c>
      <c r="D87" s="274">
        <v>0</v>
      </c>
      <c r="E87" s="280">
        <v>20000</v>
      </c>
      <c r="F87" s="280">
        <f t="shared" si="1"/>
        <v>20000</v>
      </c>
    </row>
    <row r="88" spans="1:6" ht="12.75">
      <c r="A88" s="265"/>
      <c r="C88" s="256" t="s">
        <v>577</v>
      </c>
      <c r="D88" s="274">
        <v>0</v>
      </c>
      <c r="E88" s="280">
        <v>35000</v>
      </c>
      <c r="F88" s="280">
        <f t="shared" si="1"/>
        <v>35000</v>
      </c>
    </row>
    <row r="89" spans="1:6" ht="12.75">
      <c r="A89" s="265"/>
      <c r="C89" s="256" t="s">
        <v>578</v>
      </c>
      <c r="D89" s="274">
        <v>0</v>
      </c>
      <c r="E89" s="280">
        <v>5000</v>
      </c>
      <c r="F89" s="280">
        <f t="shared" si="1"/>
        <v>5000</v>
      </c>
    </row>
    <row r="90" spans="1:6" ht="12.75">
      <c r="A90" s="265"/>
      <c r="C90" s="256"/>
      <c r="D90" s="274"/>
      <c r="E90" s="280"/>
      <c r="F90" s="280"/>
    </row>
    <row r="91" spans="1:6" ht="12.75">
      <c r="A91" s="265" t="s">
        <v>579</v>
      </c>
      <c r="C91" s="256"/>
      <c r="D91" s="273">
        <v>0</v>
      </c>
      <c r="E91" s="271">
        <v>35000</v>
      </c>
      <c r="F91" s="271">
        <f t="shared" si="1"/>
        <v>35000</v>
      </c>
    </row>
    <row r="92" spans="1:6" ht="12.75">
      <c r="A92" s="265"/>
      <c r="C92" s="256"/>
      <c r="D92" s="274"/>
      <c r="E92" s="280"/>
      <c r="F92" s="280"/>
    </row>
    <row r="93" spans="1:6" ht="12.75">
      <c r="A93" s="265" t="s">
        <v>580</v>
      </c>
      <c r="C93" s="256"/>
      <c r="D93" s="273">
        <v>0</v>
      </c>
      <c r="E93" s="271">
        <v>50000</v>
      </c>
      <c r="F93" s="271">
        <f t="shared" si="1"/>
        <v>50000</v>
      </c>
    </row>
    <row r="94" spans="1:6" ht="12.75">
      <c r="A94" s="265"/>
      <c r="C94" s="256"/>
      <c r="D94" s="273"/>
      <c r="E94" s="271"/>
      <c r="F94" s="271"/>
    </row>
    <row r="95" spans="1:6" ht="12.75">
      <c r="A95" s="265" t="s">
        <v>581</v>
      </c>
      <c r="C95" s="256"/>
      <c r="D95" s="270">
        <f>SUM(D96:D104)</f>
        <v>1295165</v>
      </c>
      <c r="E95" s="270">
        <v>20000</v>
      </c>
      <c r="F95" s="270">
        <f aca="true" t="shared" si="2" ref="F95:F104">SUM(D95:E95)</f>
        <v>1315165</v>
      </c>
    </row>
    <row r="96" spans="1:6" ht="12.75">
      <c r="A96" s="265"/>
      <c r="C96" s="256" t="s">
        <v>582</v>
      </c>
      <c r="D96" s="284">
        <v>800000</v>
      </c>
      <c r="E96" s="280">
        <v>0</v>
      </c>
      <c r="F96" s="297">
        <f t="shared" si="2"/>
        <v>800000</v>
      </c>
    </row>
    <row r="97" spans="1:6" ht="12.75">
      <c r="A97" s="265"/>
      <c r="C97" s="256" t="s">
        <v>583</v>
      </c>
      <c r="D97" s="284">
        <v>57791</v>
      </c>
      <c r="E97" s="280">
        <v>0</v>
      </c>
      <c r="F97" s="297">
        <f t="shared" si="2"/>
        <v>57791</v>
      </c>
    </row>
    <row r="98" spans="1:6" ht="12.75">
      <c r="A98" s="265"/>
      <c r="C98" s="256" t="s">
        <v>584</v>
      </c>
      <c r="D98" s="284">
        <v>59714</v>
      </c>
      <c r="E98" s="280">
        <v>0</v>
      </c>
      <c r="F98" s="297">
        <f t="shared" si="2"/>
        <v>59714</v>
      </c>
    </row>
    <row r="99" spans="1:6" ht="12.75">
      <c r="A99" s="265"/>
      <c r="C99" s="256" t="s">
        <v>585</v>
      </c>
      <c r="D99" s="299">
        <v>65000</v>
      </c>
      <c r="E99" s="300">
        <v>0</v>
      </c>
      <c r="F99" s="301">
        <f t="shared" si="2"/>
        <v>65000</v>
      </c>
    </row>
    <row r="100" spans="1:6" ht="12.75">
      <c r="A100" s="265"/>
      <c r="C100" s="256" t="s">
        <v>586</v>
      </c>
      <c r="D100" s="284">
        <f>SUM(2340*48)/4</f>
        <v>28080</v>
      </c>
      <c r="E100" s="280">
        <v>0</v>
      </c>
      <c r="F100" s="297">
        <f t="shared" si="2"/>
        <v>28080</v>
      </c>
    </row>
    <row r="101" spans="1:6" ht="12.75">
      <c r="A101" s="265"/>
      <c r="C101" s="256" t="s">
        <v>587</v>
      </c>
      <c r="D101" s="284">
        <f>SUM(2340*48)/4</f>
        <v>28080</v>
      </c>
      <c r="E101" s="280">
        <v>0</v>
      </c>
      <c r="F101" s="297">
        <f t="shared" si="2"/>
        <v>28080</v>
      </c>
    </row>
    <row r="102" spans="1:6" ht="12.75">
      <c r="A102" s="265"/>
      <c r="C102" s="256" t="s">
        <v>588</v>
      </c>
      <c r="D102" s="284">
        <v>56500</v>
      </c>
      <c r="E102" s="280">
        <v>0</v>
      </c>
      <c r="F102" s="297">
        <f t="shared" si="2"/>
        <v>56500</v>
      </c>
    </row>
    <row r="103" spans="1:6" ht="12.75">
      <c r="A103" s="265"/>
      <c r="C103" s="256" t="s">
        <v>589</v>
      </c>
      <c r="D103" s="284">
        <v>100000</v>
      </c>
      <c r="E103" s="280">
        <v>0</v>
      </c>
      <c r="F103" s="297">
        <f t="shared" si="2"/>
        <v>100000</v>
      </c>
    </row>
    <row r="104" spans="3:6" ht="12.75">
      <c r="C104" s="256" t="s">
        <v>590</v>
      </c>
      <c r="D104" s="302">
        <v>100000</v>
      </c>
      <c r="E104" s="303">
        <v>0</v>
      </c>
      <c r="F104" s="304">
        <f t="shared" si="2"/>
        <v>100000</v>
      </c>
    </row>
    <row r="107" spans="4:6" ht="12.75">
      <c r="D107" s="305" t="s">
        <v>547</v>
      </c>
      <c r="E107" s="306"/>
      <c r="F107" s="307"/>
    </row>
    <row r="108" spans="1:6" ht="15.75">
      <c r="A108" s="251" t="s">
        <v>591</v>
      </c>
      <c r="B108" s="251"/>
      <c r="D108" s="308" t="s">
        <v>549</v>
      </c>
      <c r="E108" s="309" t="s">
        <v>520</v>
      </c>
      <c r="F108" s="310" t="s">
        <v>151</v>
      </c>
    </row>
    <row r="109" spans="1:6" ht="12.75">
      <c r="A109" s="265"/>
      <c r="B109" s="265"/>
      <c r="C109" s="265"/>
      <c r="D109" s="308">
        <f>SUM(D112+D114+D117)</f>
        <v>243600</v>
      </c>
      <c r="E109" s="308">
        <f>SUM(E112+E114+E116)</f>
        <v>36456000</v>
      </c>
      <c r="F109" s="308">
        <f>SUM(D109:E109)</f>
        <v>36699600</v>
      </c>
    </row>
    <row r="110" spans="1:6" ht="12.75">
      <c r="A110" s="265"/>
      <c r="B110" s="265"/>
      <c r="C110" s="265"/>
      <c r="D110" s="273"/>
      <c r="E110" s="291"/>
      <c r="F110" s="292"/>
    </row>
    <row r="111" spans="1:6" ht="12.75">
      <c r="A111" s="265"/>
      <c r="B111" s="265"/>
      <c r="C111" s="265"/>
      <c r="D111" s="311"/>
      <c r="E111" s="312"/>
      <c r="F111" s="313"/>
    </row>
    <row r="112" spans="1:6" ht="12.75">
      <c r="A112" s="253" t="s">
        <v>172</v>
      </c>
      <c r="B112" s="253"/>
      <c r="C112" s="314"/>
      <c r="D112" s="273">
        <v>0</v>
      </c>
      <c r="E112" s="291">
        <v>36400000</v>
      </c>
      <c r="F112" s="292">
        <f>SUM(D112:E112)</f>
        <v>36400000</v>
      </c>
    </row>
    <row r="113" spans="1:6" ht="12.75">
      <c r="A113" s="253"/>
      <c r="B113" s="253"/>
      <c r="C113" s="314"/>
      <c r="D113" s="273"/>
      <c r="E113" s="291"/>
      <c r="F113" s="292"/>
    </row>
    <row r="114" spans="1:6" ht="12.75">
      <c r="A114" s="265" t="s">
        <v>592</v>
      </c>
      <c r="C114" s="256"/>
      <c r="D114" s="273"/>
      <c r="E114" s="291">
        <v>0</v>
      </c>
      <c r="F114" s="292">
        <f>SUM(D114:E114)</f>
        <v>0</v>
      </c>
    </row>
    <row r="115" spans="1:6" ht="12.75">
      <c r="A115" s="265"/>
      <c r="D115" s="273"/>
      <c r="E115" s="291"/>
      <c r="F115" s="292"/>
    </row>
    <row r="116" spans="1:6" ht="12.75">
      <c r="A116" s="265" t="s">
        <v>593</v>
      </c>
      <c r="C116" s="256"/>
      <c r="D116" s="270">
        <f>SUM(D117:D118)</f>
        <v>243600</v>
      </c>
      <c r="E116" s="270">
        <f>SUM(E117:E118)</f>
        <v>56000</v>
      </c>
      <c r="F116" s="292">
        <f>SUM(D116:E116)</f>
        <v>299600</v>
      </c>
    </row>
    <row r="117" spans="3:6" ht="12.75">
      <c r="C117" s="256" t="s">
        <v>594</v>
      </c>
      <c r="D117" s="274">
        <f>SUM(2100*55)+128100</f>
        <v>243600</v>
      </c>
      <c r="E117" s="275">
        <v>6000</v>
      </c>
      <c r="F117" s="277">
        <f>SUM(D117:E117)</f>
        <v>249600</v>
      </c>
    </row>
    <row r="118" spans="3:6" ht="12.75">
      <c r="C118" s="256" t="s">
        <v>530</v>
      </c>
      <c r="D118" s="274">
        <v>0</v>
      </c>
      <c r="E118" s="275">
        <v>50000</v>
      </c>
      <c r="F118" s="277">
        <f>SUM(D118:E118)</f>
        <v>50000</v>
      </c>
    </row>
    <row r="119" spans="1:6" ht="12.75">
      <c r="A119" s="265"/>
      <c r="C119" s="256"/>
      <c r="D119" s="274"/>
      <c r="E119" s="275"/>
      <c r="F119" s="277"/>
    </row>
    <row r="124" ht="15">
      <c r="A124" s="80" t="s">
        <v>493</v>
      </c>
    </row>
    <row r="126" ht="12.75">
      <c r="A126" s="229" t="s">
        <v>25</v>
      </c>
    </row>
    <row r="127" spans="1:4" ht="12.75">
      <c r="A127" s="229" t="s">
        <v>595</v>
      </c>
      <c r="B127">
        <v>0</v>
      </c>
      <c r="C127">
        <f>102500+275000</f>
        <v>377500</v>
      </c>
      <c r="D127">
        <f aca="true" t="shared" si="3" ref="D127:D132">B127+C127</f>
        <v>377500</v>
      </c>
    </row>
    <row r="128" spans="1:4" ht="12.75">
      <c r="A128" s="229" t="s">
        <v>596</v>
      </c>
      <c r="B128">
        <v>109440</v>
      </c>
      <c r="C128">
        <v>2000</v>
      </c>
      <c r="D128">
        <f t="shared" si="3"/>
        <v>111440</v>
      </c>
    </row>
    <row r="129" spans="1:4" ht="12.75">
      <c r="A129" s="229" t="s">
        <v>597</v>
      </c>
      <c r="B129">
        <v>70000</v>
      </c>
      <c r="C129">
        <v>3500</v>
      </c>
      <c r="D129">
        <f t="shared" si="3"/>
        <v>73500</v>
      </c>
    </row>
    <row r="130" spans="1:4" ht="12.75">
      <c r="A130" s="229" t="s">
        <v>598</v>
      </c>
      <c r="B130">
        <v>109440</v>
      </c>
      <c r="C130">
        <v>2000</v>
      </c>
      <c r="D130">
        <f t="shared" si="3"/>
        <v>111440</v>
      </c>
    </row>
    <row r="131" spans="1:4" ht="12.75">
      <c r="A131" s="229" t="s">
        <v>599</v>
      </c>
      <c r="B131">
        <v>109440</v>
      </c>
      <c r="C131">
        <v>2000</v>
      </c>
      <c r="D131">
        <f t="shared" si="3"/>
        <v>111440</v>
      </c>
    </row>
    <row r="132" spans="1:4" ht="12.75">
      <c r="A132" s="229" t="s">
        <v>600</v>
      </c>
      <c r="B132">
        <v>70000</v>
      </c>
      <c r="C132">
        <v>2000</v>
      </c>
      <c r="D132">
        <f t="shared" si="3"/>
        <v>72000</v>
      </c>
    </row>
    <row r="133" ht="12.75">
      <c r="A133" s="229" t="s">
        <v>25</v>
      </c>
    </row>
    <row r="134" spans="1:4" ht="12.75">
      <c r="A134" s="237" t="s">
        <v>601</v>
      </c>
      <c r="B134">
        <f>SUM(B127:B133)</f>
        <v>468320</v>
      </c>
      <c r="C134">
        <f>SUM(C127:C133)</f>
        <v>389000</v>
      </c>
      <c r="D134">
        <f>SUM(D127:D133)</f>
        <v>857320</v>
      </c>
    </row>
    <row r="137" ht="15">
      <c r="A137" s="80" t="s">
        <v>494</v>
      </c>
    </row>
    <row r="139" spans="1:4" ht="12.75">
      <c r="A139" s="229" t="s">
        <v>595</v>
      </c>
      <c r="B139">
        <v>0</v>
      </c>
      <c r="C139">
        <f>125000+275000</f>
        <v>400000</v>
      </c>
      <c r="D139">
        <f>B139+C139</f>
        <v>400000</v>
      </c>
    </row>
    <row r="140" spans="1:4" ht="12.75">
      <c r="A140" s="229" t="s">
        <v>602</v>
      </c>
      <c r="B140">
        <v>109440</v>
      </c>
      <c r="C140">
        <v>2000</v>
      </c>
      <c r="D140">
        <f>B140+C140</f>
        <v>111440</v>
      </c>
    </row>
    <row r="141" spans="1:4" ht="12.75">
      <c r="A141" s="229" t="s">
        <v>586</v>
      </c>
      <c r="B141">
        <v>70000</v>
      </c>
      <c r="C141">
        <v>3500</v>
      </c>
      <c r="D141">
        <f>B141+C141</f>
        <v>73500</v>
      </c>
    </row>
    <row r="142" ht="12.75">
      <c r="A142" s="229" t="s">
        <v>25</v>
      </c>
    </row>
    <row r="143" spans="1:4" ht="12.75">
      <c r="A143" s="237" t="s">
        <v>601</v>
      </c>
      <c r="B143">
        <f>SUM(B139:B142)</f>
        <v>179440</v>
      </c>
      <c r="C143">
        <f>SUM(C139:C142)</f>
        <v>405500</v>
      </c>
      <c r="D143">
        <f>SUM(D139:D142)</f>
        <v>584940</v>
      </c>
    </row>
    <row r="146" ht="15">
      <c r="A146" s="80" t="s">
        <v>492</v>
      </c>
    </row>
    <row r="148" spans="1:4" ht="12.75">
      <c r="A148" s="229" t="s">
        <v>595</v>
      </c>
      <c r="B148">
        <v>0</v>
      </c>
      <c r="C148">
        <v>125000</v>
      </c>
      <c r="D148">
        <f>B148+C148</f>
        <v>125000</v>
      </c>
    </row>
    <row r="149" spans="1:4" ht="12.75">
      <c r="A149" s="229" t="s">
        <v>603</v>
      </c>
      <c r="B149">
        <v>65000</v>
      </c>
      <c r="C149">
        <v>2000</v>
      </c>
      <c r="D149">
        <f>B149+C149</f>
        <v>67000</v>
      </c>
    </row>
    <row r="150" spans="1:4" ht="12.75">
      <c r="A150" s="229" t="s">
        <v>604</v>
      </c>
      <c r="B150">
        <v>109440</v>
      </c>
      <c r="C150">
        <v>2000</v>
      </c>
      <c r="D150">
        <f>B150+C150</f>
        <v>111440</v>
      </c>
    </row>
    <row r="151" spans="1:4" ht="12.75">
      <c r="A151" s="229" t="s">
        <v>605</v>
      </c>
      <c r="B151">
        <v>68000</v>
      </c>
      <c r="C151">
        <v>2000</v>
      </c>
      <c r="D151">
        <f>B151+C151</f>
        <v>70000</v>
      </c>
    </row>
    <row r="152" ht="12.75">
      <c r="A152" s="229" t="s">
        <v>25</v>
      </c>
    </row>
    <row r="153" spans="1:4" ht="12.75">
      <c r="A153" s="237" t="s">
        <v>601</v>
      </c>
      <c r="B153">
        <f>SUM(B148:B152)</f>
        <v>242440</v>
      </c>
      <c r="C153">
        <f>SUM(C148:C152)</f>
        <v>131000</v>
      </c>
      <c r="D153">
        <f>SUM(D148:D152)</f>
        <v>373440</v>
      </c>
    </row>
    <row r="156" ht="15">
      <c r="A156" s="84" t="s">
        <v>606</v>
      </c>
    </row>
    <row r="158" spans="1:4" ht="12.75">
      <c r="A158" s="229" t="s">
        <v>595</v>
      </c>
      <c r="B158">
        <v>0</v>
      </c>
      <c r="C158">
        <v>0</v>
      </c>
      <c r="D158">
        <v>0</v>
      </c>
    </row>
    <row r="159" spans="1:4" ht="12.75">
      <c r="A159" s="229" t="s">
        <v>607</v>
      </c>
      <c r="B159">
        <v>109440</v>
      </c>
      <c r="C159">
        <v>2000</v>
      </c>
      <c r="D159">
        <f>B159+C159</f>
        <v>111440</v>
      </c>
    </row>
    <row r="160" spans="1:4" ht="12.75">
      <c r="A160" s="229" t="s">
        <v>608</v>
      </c>
      <c r="B160">
        <v>109440</v>
      </c>
      <c r="C160">
        <v>2000</v>
      </c>
      <c r="D160">
        <f>B160+C160</f>
        <v>111440</v>
      </c>
    </row>
    <row r="161" ht="12.75">
      <c r="A161" s="229" t="s">
        <v>25</v>
      </c>
    </row>
    <row r="162" spans="1:4" ht="12.75">
      <c r="A162" s="237" t="s">
        <v>601</v>
      </c>
      <c r="B162">
        <f>SUM(B158:B161)</f>
        <v>218880</v>
      </c>
      <c r="C162">
        <f>SUM(C158:C161)</f>
        <v>4000</v>
      </c>
      <c r="D162">
        <f>SUM(D158:D161)</f>
        <v>222880</v>
      </c>
    </row>
    <row r="166" spans="1:4" ht="12.75">
      <c r="A166" t="s">
        <v>609</v>
      </c>
      <c r="B166">
        <v>118250</v>
      </c>
      <c r="C166">
        <v>6000</v>
      </c>
      <c r="D166" s="229">
        <f aca="true" t="shared" si="4" ref="D166:D173">SUM(B166:C166)</f>
        <v>124250</v>
      </c>
    </row>
    <row r="167" spans="1:4" ht="12.75">
      <c r="A167" t="s">
        <v>610</v>
      </c>
      <c r="B167">
        <v>118250</v>
      </c>
      <c r="C167">
        <v>6000</v>
      </c>
      <c r="D167" s="229">
        <f t="shared" si="4"/>
        <v>124250</v>
      </c>
    </row>
    <row r="168" spans="1:4" ht="12.75">
      <c r="A168" t="s">
        <v>611</v>
      </c>
      <c r="B168">
        <v>118250</v>
      </c>
      <c r="C168">
        <v>6000</v>
      </c>
      <c r="D168" s="229">
        <f t="shared" si="4"/>
        <v>124250</v>
      </c>
    </row>
    <row r="169" spans="1:4" ht="12.75">
      <c r="A169" t="s">
        <v>612</v>
      </c>
      <c r="B169">
        <v>118250</v>
      </c>
      <c r="C169">
        <v>6000</v>
      </c>
      <c r="D169" s="229">
        <f t="shared" si="4"/>
        <v>124250</v>
      </c>
    </row>
    <row r="170" spans="1:4" ht="12.75">
      <c r="A170" t="s">
        <v>613</v>
      </c>
      <c r="B170">
        <v>118250</v>
      </c>
      <c r="C170">
        <v>6000</v>
      </c>
      <c r="D170" s="229">
        <f t="shared" si="4"/>
        <v>124250</v>
      </c>
    </row>
    <row r="171" spans="1:4" ht="12.75">
      <c r="A171" t="s">
        <v>614</v>
      </c>
      <c r="B171">
        <v>118250</v>
      </c>
      <c r="C171">
        <v>6000</v>
      </c>
      <c r="D171" s="229">
        <f t="shared" si="4"/>
        <v>124250</v>
      </c>
    </row>
    <row r="172" spans="1:4" ht="12.75">
      <c r="A172" t="s">
        <v>615</v>
      </c>
      <c r="B172">
        <v>118250</v>
      </c>
      <c r="C172">
        <v>6000</v>
      </c>
      <c r="D172" s="229">
        <f t="shared" si="4"/>
        <v>124250</v>
      </c>
    </row>
    <row r="173" spans="1:4" ht="12.75">
      <c r="A173" t="s">
        <v>616</v>
      </c>
      <c r="B173">
        <v>118250</v>
      </c>
      <c r="C173">
        <v>6000</v>
      </c>
      <c r="D173" s="229">
        <f t="shared" si="4"/>
        <v>124250</v>
      </c>
    </row>
    <row r="175" ht="12.75">
      <c r="D175" s="194">
        <f>SUM(D166:D174)</f>
        <v>994000</v>
      </c>
    </row>
  </sheetData>
  <sheetProtection/>
  <printOptions/>
  <pageMargins left="0.75" right="0.75" top="1.09" bottom="0.68" header="0.5" footer="0.27"/>
  <pageSetup horizontalDpi="600" verticalDpi="600" orientation="landscape" scale="80" r:id="rId3"/>
  <headerFooter alignWithMargins="0">
    <oddHeader>&amp;C&amp;"MS Sans Serif,Bold"&amp;12Master Plan for Education Technology
2001-2006
IP_Data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Harris, Janice - Division of Operations and Services</cp:lastModifiedBy>
  <cp:lastPrinted>2012-09-10T16:01:35Z</cp:lastPrinted>
  <dcterms:created xsi:type="dcterms:W3CDTF">1997-06-16T12:57:16Z</dcterms:created>
  <dcterms:modified xsi:type="dcterms:W3CDTF">2012-09-10T20:54:23Z</dcterms:modified>
  <cp:category/>
  <cp:version/>
  <cp:contentType/>
  <cp:contentStatus/>
</cp:coreProperties>
</file>